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ADN\4. IPAE Mide\IPAE Mide 23\3. Informe 2023 (octubre)\"/>
    </mc:Choice>
  </mc:AlternateContent>
  <bookViews>
    <workbookView xWindow="0" yWindow="0" windowWidth="20490" windowHeight="7620" tabRatio="856"/>
  </bookViews>
  <sheets>
    <sheet name="PILAR 1. INSTITUCIONALIDAD" sheetId="20" r:id="rId1"/>
    <sheet name="PILAR 2. CRECIMIENTO" sheetId="16" r:id="rId2"/>
    <sheet name="PILAR 3. EDUCACIÓN" sheetId="21" r:id="rId3"/>
    <sheet name="PILAR 4. IGUALDAD DE OPORT" sheetId="18" r:id="rId4"/>
    <sheet name="Metas" sheetId="24" r:id="rId5"/>
    <sheet name="PILAR 2. IGUALDAD" sheetId="17" state="hidden" r:id="rId6"/>
    <sheet name="P1. CRECIMIENTO" sheetId="12" state="hidden" r:id="rId7"/>
    <sheet name="Series largas" sheetId="13" state="hidden" r:id="rId8"/>
    <sheet name="1. Crecimiento" sheetId="11" state="hidden" r:id="rId9"/>
    <sheet name="Sheet2" sheetId="14" state="hidden" r:id="rId10"/>
    <sheet name="1. Crecimiento(antiguo)" sheetId="8" state="hidden" r:id="rId11"/>
    <sheet name="2. Igualdad de oportunidades" sheetId="9" state="hidden" r:id="rId12"/>
    <sheet name="5. Empresarios comprometidos" sheetId="10" state="hidden" r:id="rId13"/>
    <sheet name="IPAE Mide" sheetId="7" state="hidden" r:id="rId14"/>
    <sheet name="IPAE Mide_ant" sheetId="1" state="hidden" r:id="rId15"/>
    <sheet name="Hoja2" sheetId="2" state="hidden" r:id="rId16"/>
    <sheet name="Hoja4" sheetId="5" state="hidden" r:id="rId17"/>
    <sheet name="Hoja3" sheetId="4" state="hidden" r:id="rId18"/>
    <sheet name="Sheet1" sheetId="3" state="hidden" r:id="rId1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1" l="1"/>
  <c r="N9" i="21" l="1"/>
  <c r="M9" i="21"/>
  <c r="L9" i="21"/>
  <c r="R28" i="17" l="1"/>
  <c r="Q28" i="17" s="1"/>
  <c r="M28" i="17"/>
  <c r="K28" i="17"/>
  <c r="Q27" i="17"/>
  <c r="O27" i="17"/>
  <c r="I27" i="17"/>
  <c r="G27" i="17"/>
  <c r="M26" i="17"/>
  <c r="K26" i="17"/>
  <c r="Q25" i="17"/>
  <c r="O25" i="17"/>
  <c r="I25" i="17"/>
  <c r="G25" i="17"/>
  <c r="K24" i="17"/>
  <c r="Q23" i="17"/>
  <c r="O23" i="17"/>
  <c r="I23" i="17"/>
  <c r="G23" i="17"/>
  <c r="Q21" i="17"/>
  <c r="O21" i="17"/>
  <c r="I21" i="17"/>
  <c r="G21" i="17"/>
  <c r="M20" i="17"/>
  <c r="K20" i="17"/>
  <c r="O19" i="17"/>
  <c r="M19" i="17"/>
  <c r="Q18" i="17"/>
  <c r="O18" i="17"/>
  <c r="I18" i="17"/>
  <c r="G18" i="17"/>
  <c r="R15" i="17"/>
  <c r="J28" i="17" s="1"/>
  <c r="R14" i="17"/>
  <c r="N27" i="17" s="1"/>
  <c r="R13" i="17"/>
  <c r="J26" i="17" s="1"/>
  <c r="R12" i="17"/>
  <c r="N25" i="17" s="1"/>
  <c r="R11" i="17"/>
  <c r="J24" i="17" s="1"/>
  <c r="R10" i="17"/>
  <c r="N23" i="17" s="1"/>
  <c r="R9" i="17"/>
  <c r="J22" i="17" s="1"/>
  <c r="R8" i="17"/>
  <c r="N21" i="17" s="1"/>
  <c r="R7" i="17"/>
  <c r="J20" i="17" s="1"/>
  <c r="R6" i="17"/>
  <c r="L19" i="17" s="1"/>
  <c r="R5" i="17"/>
  <c r="N18" i="17" s="1"/>
  <c r="E3" i="14"/>
  <c r="F16" i="14"/>
  <c r="N32" i="17" l="1"/>
  <c r="H18" i="17"/>
  <c r="H32" i="17" s="1"/>
  <c r="P18" i="17"/>
  <c r="N19" i="17"/>
  <c r="L20" i="17"/>
  <c r="H21" i="17"/>
  <c r="P21" i="17"/>
  <c r="L22" i="17"/>
  <c r="H23" i="17"/>
  <c r="P23" i="17"/>
  <c r="L24" i="17"/>
  <c r="H25" i="17"/>
  <c r="P25" i="17"/>
  <c r="L26" i="17"/>
  <c r="H27" i="17"/>
  <c r="P27" i="17"/>
  <c r="L28" i="17"/>
  <c r="J18" i="17"/>
  <c r="J32" i="17" s="1"/>
  <c r="H19" i="17"/>
  <c r="P19" i="17"/>
  <c r="N20" i="17"/>
  <c r="J21" i="17"/>
  <c r="F22" i="17"/>
  <c r="N22" i="17"/>
  <c r="J23" i="17"/>
  <c r="F24" i="17"/>
  <c r="F33" i="17" s="1"/>
  <c r="N24" i="17"/>
  <c r="J25" i="17"/>
  <c r="J33" i="17" s="1"/>
  <c r="F26" i="17"/>
  <c r="N26" i="17"/>
  <c r="J27" i="17"/>
  <c r="F28" i="17"/>
  <c r="N28" i="17"/>
  <c r="M24" i="17"/>
  <c r="K18" i="17"/>
  <c r="I19" i="17"/>
  <c r="I32" i="17" s="1"/>
  <c r="Q19" i="17"/>
  <c r="Q32" i="17" s="1"/>
  <c r="O20" i="17"/>
  <c r="O32" i="17" s="1"/>
  <c r="K21" i="17"/>
  <c r="G22" i="17"/>
  <c r="G32" i="17" s="1"/>
  <c r="O22" i="17"/>
  <c r="K23" i="17"/>
  <c r="G24" i="17"/>
  <c r="O24" i="17"/>
  <c r="K25" i="17"/>
  <c r="K33" i="17" s="1"/>
  <c r="G26" i="17"/>
  <c r="O26" i="17"/>
  <c r="K27" i="17"/>
  <c r="G28" i="17"/>
  <c r="O28" i="17"/>
  <c r="M22" i="17"/>
  <c r="L18" i="17"/>
  <c r="L32" i="17" s="1"/>
  <c r="J19" i="17"/>
  <c r="H20" i="17"/>
  <c r="P20" i="17"/>
  <c r="L21" i="17"/>
  <c r="H22" i="17"/>
  <c r="P22" i="17"/>
  <c r="L23" i="17"/>
  <c r="H24" i="17"/>
  <c r="P24" i="17"/>
  <c r="L25" i="17"/>
  <c r="H26" i="17"/>
  <c r="P26" i="17"/>
  <c r="L27" i="17"/>
  <c r="H28" i="17"/>
  <c r="P28" i="17"/>
  <c r="K22" i="17"/>
  <c r="M18" i="17"/>
  <c r="K19" i="17"/>
  <c r="I20" i="17"/>
  <c r="Q20" i="17"/>
  <c r="M21" i="17"/>
  <c r="I22" i="17"/>
  <c r="Q22" i="17"/>
  <c r="M23" i="17"/>
  <c r="I24" i="17"/>
  <c r="Q24" i="17"/>
  <c r="M25" i="17"/>
  <c r="I26" i="17"/>
  <c r="Q26" i="17"/>
  <c r="M27" i="17"/>
  <c r="I28" i="17"/>
  <c r="F18" i="17"/>
  <c r="F32" i="17" s="1"/>
  <c r="F21" i="17"/>
  <c r="F23" i="17"/>
  <c r="F25" i="17"/>
  <c r="F27" i="17"/>
  <c r="I34" i="17" l="1"/>
  <c r="N34" i="17"/>
  <c r="J34" i="17"/>
  <c r="Q33" i="17"/>
  <c r="Q34" i="17" s="1"/>
  <c r="M33" i="17"/>
  <c r="I33" i="17"/>
  <c r="M32" i="17"/>
  <c r="P33" i="17"/>
  <c r="L34" i="17"/>
  <c r="O33" i="17"/>
  <c r="O34" i="17" s="1"/>
  <c r="T32" i="17"/>
  <c r="R32" i="17"/>
  <c r="F34" i="17"/>
  <c r="H33" i="17"/>
  <c r="H34" i="17" s="1"/>
  <c r="G33" i="17"/>
  <c r="G34" i="17" s="1"/>
  <c r="K32" i="17"/>
  <c r="K34" i="17" s="1"/>
  <c r="N33" i="17"/>
  <c r="L33" i="17"/>
  <c r="P32" i="17"/>
  <c r="Q18" i="11"/>
  <c r="F20" i="12"/>
  <c r="G20" i="12"/>
  <c r="H20" i="12"/>
  <c r="I20" i="12"/>
  <c r="J20" i="12"/>
  <c r="K20" i="12"/>
  <c r="L20" i="12"/>
  <c r="M20" i="12"/>
  <c r="N20" i="12"/>
  <c r="O20" i="12"/>
  <c r="P20" i="12"/>
  <c r="E20" i="12"/>
  <c r="Q27" i="12"/>
  <c r="E27" i="12" s="1"/>
  <c r="Q26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D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2" i="14"/>
  <c r="F24" i="12"/>
  <c r="G24" i="12"/>
  <c r="H24" i="12"/>
  <c r="I24" i="12"/>
  <c r="J24" i="12"/>
  <c r="K24" i="12"/>
  <c r="L24" i="12"/>
  <c r="M24" i="12"/>
  <c r="N24" i="12"/>
  <c r="O24" i="12"/>
  <c r="P24" i="12"/>
  <c r="E24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F21" i="12"/>
  <c r="G21" i="12"/>
  <c r="H21" i="12"/>
  <c r="I21" i="12"/>
  <c r="J21" i="12"/>
  <c r="K21" i="12"/>
  <c r="L21" i="12"/>
  <c r="M21" i="12"/>
  <c r="N21" i="12"/>
  <c r="O21" i="12"/>
  <c r="P21" i="12"/>
  <c r="E21" i="12"/>
  <c r="E25" i="11"/>
  <c r="C44" i="13"/>
  <c r="D44" i="13" s="1"/>
  <c r="C43" i="13"/>
  <c r="D43" i="13" s="1"/>
  <c r="C42" i="13"/>
  <c r="D42" i="13" s="1"/>
  <c r="C41" i="13"/>
  <c r="D41" i="13" s="1"/>
  <c r="C40" i="13"/>
  <c r="D40" i="13" s="1"/>
  <c r="C39" i="13"/>
  <c r="D39" i="13" s="1"/>
  <c r="C38" i="13"/>
  <c r="D38" i="13" s="1"/>
  <c r="C37" i="13"/>
  <c r="D37" i="13" s="1"/>
  <c r="C36" i="13"/>
  <c r="D36" i="13" s="1"/>
  <c r="C35" i="13"/>
  <c r="D35" i="13" s="1"/>
  <c r="C34" i="13"/>
  <c r="D34" i="13" s="1"/>
  <c r="C33" i="13"/>
  <c r="D33" i="13" s="1"/>
  <c r="C32" i="13"/>
  <c r="D32" i="13" s="1"/>
  <c r="C31" i="13"/>
  <c r="D31" i="13" s="1"/>
  <c r="C30" i="13"/>
  <c r="D30" i="13" s="1"/>
  <c r="C29" i="13"/>
  <c r="D29" i="13" s="1"/>
  <c r="C28" i="13"/>
  <c r="D28" i="13" s="1"/>
  <c r="C27" i="13"/>
  <c r="D27" i="13" s="1"/>
  <c r="C26" i="13"/>
  <c r="D26" i="13" s="1"/>
  <c r="D25" i="13"/>
  <c r="C25" i="13"/>
  <c r="C24" i="13"/>
  <c r="D24" i="13" s="1"/>
  <c r="C23" i="13"/>
  <c r="D23" i="13" s="1"/>
  <c r="C22" i="13"/>
  <c r="D22" i="13" s="1"/>
  <c r="D21" i="13"/>
  <c r="C21" i="13"/>
  <c r="C20" i="13"/>
  <c r="D20" i="13" s="1"/>
  <c r="C19" i="13"/>
  <c r="D19" i="13" s="1"/>
  <c r="C18" i="13"/>
  <c r="D18" i="13" s="1"/>
  <c r="C17" i="13"/>
  <c r="D17" i="13" s="1"/>
  <c r="C16" i="13"/>
  <c r="D16" i="13" s="1"/>
  <c r="C15" i="13"/>
  <c r="D15" i="13" s="1"/>
  <c r="C14" i="13"/>
  <c r="D14" i="13" s="1"/>
  <c r="C13" i="13"/>
  <c r="D13" i="13" s="1"/>
  <c r="C12" i="13"/>
  <c r="D12" i="13" s="1"/>
  <c r="C11" i="13"/>
  <c r="D11" i="13" s="1"/>
  <c r="C10" i="13"/>
  <c r="D10" i="13" s="1"/>
  <c r="C9" i="13"/>
  <c r="D9" i="13" s="1"/>
  <c r="C8" i="13"/>
  <c r="D8" i="13" s="1"/>
  <c r="H33" i="12"/>
  <c r="I33" i="12"/>
  <c r="J33" i="12"/>
  <c r="K33" i="12"/>
  <c r="L33" i="12"/>
  <c r="M33" i="12"/>
  <c r="N33" i="12"/>
  <c r="O33" i="12"/>
  <c r="P33" i="12"/>
  <c r="G33" i="12"/>
  <c r="Q22" i="12"/>
  <c r="Q23" i="12" s="1"/>
  <c r="Q32" i="12"/>
  <c r="Q31" i="12"/>
  <c r="Q30" i="12"/>
  <c r="Q29" i="12"/>
  <c r="Q15" i="12"/>
  <c r="Q14" i="12"/>
  <c r="Q13" i="12"/>
  <c r="Q12" i="12"/>
  <c r="Q11" i="12"/>
  <c r="Q10" i="12"/>
  <c r="Q9" i="12"/>
  <c r="Q8" i="12"/>
  <c r="Q7" i="12"/>
  <c r="Q6" i="12"/>
  <c r="Q5" i="12"/>
  <c r="U33" i="17" l="1"/>
  <c r="M34" i="17"/>
  <c r="T33" i="17"/>
  <c r="R34" i="17"/>
  <c r="P34" i="17"/>
  <c r="U34" i="17" s="1"/>
  <c r="S32" i="17"/>
  <c r="U32" i="17"/>
  <c r="R33" i="17"/>
  <c r="S33" i="17"/>
  <c r="L27" i="12"/>
  <c r="K27" i="12"/>
  <c r="J27" i="12"/>
  <c r="P27" i="12"/>
  <c r="H27" i="12"/>
  <c r="O27" i="12"/>
  <c r="G27" i="12"/>
  <c r="I27" i="12"/>
  <c r="N27" i="12"/>
  <c r="F27" i="12"/>
  <c r="M27" i="12"/>
  <c r="D45" i="13"/>
  <c r="S34" i="17" l="1"/>
  <c r="T34" i="17"/>
  <c r="P34" i="11"/>
  <c r="O34" i="11"/>
  <c r="N34" i="11"/>
  <c r="M34" i="11"/>
  <c r="L34" i="11"/>
  <c r="K34" i="11"/>
  <c r="J34" i="11"/>
  <c r="I34" i="11"/>
  <c r="H34" i="11"/>
  <c r="G34" i="11"/>
  <c r="F34" i="11"/>
  <c r="E34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P25" i="11"/>
  <c r="O25" i="11"/>
  <c r="N25" i="11"/>
  <c r="M25" i="11"/>
  <c r="L25" i="11"/>
  <c r="K25" i="11"/>
  <c r="J25" i="11"/>
  <c r="I25" i="11"/>
  <c r="H25" i="11"/>
  <c r="G25" i="11"/>
  <c r="F25" i="11"/>
  <c r="Q17" i="11"/>
  <c r="Q16" i="11"/>
  <c r="Q15" i="11"/>
  <c r="Q14" i="11"/>
  <c r="Q13" i="11"/>
  <c r="Q11" i="11"/>
  <c r="Q10" i="11"/>
  <c r="Q9" i="11"/>
  <c r="Q8" i="11"/>
  <c r="Q7" i="11"/>
  <c r="Q6" i="11"/>
  <c r="P24" i="11" l="1"/>
  <c r="P5" i="11" s="1"/>
  <c r="M24" i="11"/>
  <c r="M5" i="11" s="1"/>
  <c r="E24" i="11"/>
  <c r="E5" i="11" s="1"/>
  <c r="Q31" i="11"/>
  <c r="Q33" i="11"/>
  <c r="Q26" i="11"/>
  <c r="Q28" i="11"/>
  <c r="Q32" i="11"/>
  <c r="L24" i="11"/>
  <c r="L5" i="11" s="1"/>
  <c r="H24" i="11"/>
  <c r="H5" i="11" s="1"/>
  <c r="Q34" i="11"/>
  <c r="G24" i="11"/>
  <c r="G5" i="11" s="1"/>
  <c r="O24" i="11"/>
  <c r="O5" i="11" s="1"/>
  <c r="I24" i="11"/>
  <c r="I5" i="11" s="1"/>
  <c r="N24" i="11"/>
  <c r="N5" i="11" s="1"/>
  <c r="Q25" i="11"/>
  <c r="Q27" i="11"/>
  <c r="Q29" i="11"/>
  <c r="F24" i="11"/>
  <c r="F5" i="11" s="1"/>
  <c r="J24" i="11"/>
  <c r="J5" i="11" s="1"/>
  <c r="K24" i="11"/>
  <c r="K5" i="11" s="1"/>
  <c r="Q30" i="11"/>
  <c r="Q24" i="11" l="1"/>
  <c r="Q5" i="11" s="1"/>
  <c r="Q17" i="8" l="1"/>
  <c r="E24" i="8"/>
  <c r="O24" i="8"/>
  <c r="F24" i="8"/>
  <c r="J24" i="8"/>
  <c r="Q10" i="9"/>
  <c r="F32" i="8"/>
  <c r="G32" i="8"/>
  <c r="H32" i="8"/>
  <c r="I32" i="8"/>
  <c r="J32" i="8"/>
  <c r="K32" i="8"/>
  <c r="L32" i="8"/>
  <c r="M32" i="8"/>
  <c r="N32" i="8"/>
  <c r="O32" i="8"/>
  <c r="P32" i="8"/>
  <c r="F33" i="8"/>
  <c r="G33" i="8"/>
  <c r="H33" i="8"/>
  <c r="I33" i="8"/>
  <c r="J33" i="8"/>
  <c r="K33" i="8"/>
  <c r="L33" i="8"/>
  <c r="M33" i="8"/>
  <c r="N33" i="8"/>
  <c r="O33" i="8"/>
  <c r="P33" i="8"/>
  <c r="Q33" i="8" s="1"/>
  <c r="F34" i="8"/>
  <c r="G34" i="8"/>
  <c r="H34" i="8"/>
  <c r="I34" i="8"/>
  <c r="J34" i="8"/>
  <c r="K34" i="8"/>
  <c r="L34" i="8"/>
  <c r="M34" i="8"/>
  <c r="N34" i="8"/>
  <c r="O34" i="8"/>
  <c r="P34" i="8"/>
  <c r="Q34" i="8" s="1"/>
  <c r="E33" i="8"/>
  <c r="E34" i="8"/>
  <c r="E32" i="8"/>
  <c r="E25" i="8"/>
  <c r="F25" i="8"/>
  <c r="G25" i="8"/>
  <c r="H25" i="8"/>
  <c r="I25" i="8"/>
  <c r="J25" i="8"/>
  <c r="K25" i="8"/>
  <c r="L25" i="8"/>
  <c r="M25" i="8"/>
  <c r="N25" i="8"/>
  <c r="O25" i="8"/>
  <c r="P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 s="1"/>
  <c r="E27" i="8"/>
  <c r="F27" i="8"/>
  <c r="G27" i="8"/>
  <c r="H27" i="8"/>
  <c r="I27" i="8"/>
  <c r="J27" i="8"/>
  <c r="K27" i="8"/>
  <c r="L27" i="8"/>
  <c r="M27" i="8"/>
  <c r="N27" i="8"/>
  <c r="O27" i="8"/>
  <c r="P27" i="8"/>
  <c r="E28" i="8"/>
  <c r="F28" i="8"/>
  <c r="G28" i="8"/>
  <c r="H28" i="8"/>
  <c r="I28" i="8"/>
  <c r="J28" i="8"/>
  <c r="K28" i="8"/>
  <c r="L28" i="8"/>
  <c r="M28" i="8"/>
  <c r="N28" i="8"/>
  <c r="O28" i="8"/>
  <c r="P28" i="8"/>
  <c r="E29" i="8"/>
  <c r="F29" i="8"/>
  <c r="G29" i="8"/>
  <c r="H29" i="8"/>
  <c r="I29" i="8"/>
  <c r="J29" i="8"/>
  <c r="K29" i="8"/>
  <c r="L29" i="8"/>
  <c r="M29" i="8"/>
  <c r="N29" i="8"/>
  <c r="O29" i="8"/>
  <c r="P29" i="8"/>
  <c r="E30" i="8"/>
  <c r="F30" i="8"/>
  <c r="G30" i="8"/>
  <c r="H30" i="8"/>
  <c r="I30" i="8"/>
  <c r="J30" i="8"/>
  <c r="K30" i="8"/>
  <c r="L30" i="8"/>
  <c r="M30" i="8"/>
  <c r="N30" i="8"/>
  <c r="O30" i="8"/>
  <c r="P30" i="8"/>
  <c r="E31" i="8"/>
  <c r="F31" i="8"/>
  <c r="G31" i="8"/>
  <c r="H31" i="8"/>
  <c r="I31" i="8"/>
  <c r="J31" i="8"/>
  <c r="K31" i="8"/>
  <c r="L31" i="8"/>
  <c r="M31" i="8"/>
  <c r="N31" i="8"/>
  <c r="O31" i="8"/>
  <c r="P31" i="8"/>
  <c r="G24" i="8"/>
  <c r="H24" i="8"/>
  <c r="I24" i="8"/>
  <c r="K24" i="8"/>
  <c r="L24" i="8"/>
  <c r="M24" i="8"/>
  <c r="N24" i="8"/>
  <c r="P24" i="8"/>
  <c r="Q9" i="10"/>
  <c r="P21" i="7"/>
  <c r="Q9" i="9"/>
  <c r="Q12" i="9"/>
  <c r="Q16" i="9"/>
  <c r="Q15" i="9"/>
  <c r="Q27" i="8" l="1"/>
  <c r="Q25" i="8"/>
  <c r="M23" i="8"/>
  <c r="L23" i="8"/>
  <c r="L5" i="8" s="1"/>
  <c r="H23" i="8"/>
  <c r="H5" i="8" s="1"/>
  <c r="G23" i="8"/>
  <c r="G5" i="8" s="1"/>
  <c r="P23" i="8"/>
  <c r="N23" i="8"/>
  <c r="N5" i="8" s="1"/>
  <c r="Q31" i="8"/>
  <c r="Q29" i="8"/>
  <c r="J23" i="8"/>
  <c r="J5" i="8" s="1"/>
  <c r="K23" i="8"/>
  <c r="K5" i="8" s="1"/>
  <c r="Q30" i="8"/>
  <c r="Q28" i="8"/>
  <c r="E23" i="8"/>
  <c r="E5" i="8" s="1"/>
  <c r="I23" i="8"/>
  <c r="I5" i="8" s="1"/>
  <c r="F23" i="8"/>
  <c r="O23" i="8"/>
  <c r="O5" i="8" s="1"/>
  <c r="Q32" i="8"/>
  <c r="P5" i="8"/>
  <c r="F5" i="8"/>
  <c r="Q24" i="8"/>
  <c r="M5" i="8"/>
  <c r="Q13" i="9"/>
  <c r="Q7" i="9"/>
  <c r="Q15" i="8"/>
  <c r="Q10" i="8"/>
  <c r="Q16" i="8"/>
  <c r="Q13" i="8"/>
  <c r="Q11" i="8"/>
  <c r="Q12" i="8"/>
  <c r="Q14" i="8"/>
  <c r="Q9" i="8"/>
  <c r="Q8" i="8"/>
  <c r="Q7" i="8"/>
  <c r="Q6" i="8"/>
  <c r="P7" i="7"/>
  <c r="P8" i="7"/>
  <c r="P12" i="7"/>
  <c r="P11" i="7"/>
  <c r="P19" i="7"/>
  <c r="P18" i="7"/>
  <c r="P13" i="7"/>
  <c r="P10" i="7"/>
  <c r="P15" i="7"/>
  <c r="P5" i="7"/>
  <c r="P20" i="7"/>
  <c r="Q23" i="8" l="1"/>
  <c r="Q5" i="8" s="1"/>
  <c r="P17" i="7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C41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B42" i="2"/>
  <c r="C42" i="2"/>
  <c r="B43" i="2"/>
  <c r="C43" i="2"/>
  <c r="B44" i="2"/>
  <c r="C44" i="2"/>
  <c r="B45" i="2"/>
  <c r="C45" i="2"/>
  <c r="B46" i="2"/>
  <c r="C46" i="2"/>
  <c r="B47" i="2"/>
  <c r="C47" i="2"/>
  <c r="C28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4" i="2"/>
  <c r="M5" i="4"/>
  <c r="M6" i="4"/>
  <c r="M7" i="4"/>
  <c r="M8" i="4"/>
  <c r="M9" i="4"/>
  <c r="M10" i="4"/>
  <c r="M11" i="4"/>
  <c r="M12" i="4"/>
  <c r="M13" i="4"/>
  <c r="M14" i="4"/>
  <c r="M15" i="4"/>
  <c r="M4" i="4"/>
  <c r="L5" i="4"/>
  <c r="L6" i="4"/>
  <c r="L7" i="4"/>
  <c r="L8" i="4"/>
  <c r="L9" i="4"/>
  <c r="L10" i="4"/>
  <c r="L11" i="4"/>
  <c r="L12" i="4"/>
  <c r="L13" i="4"/>
  <c r="L14" i="4"/>
  <c r="L15" i="4"/>
  <c r="L4" i="4"/>
  <c r="P16" i="7"/>
  <c r="P6" i="7"/>
  <c r="P9" i="7"/>
  <c r="J37" i="2" l="1"/>
  <c r="K37" i="2" s="1"/>
  <c r="L37" i="2" s="1"/>
  <c r="M37" i="2" s="1"/>
  <c r="P5" i="1"/>
  <c r="P8" i="1"/>
  <c r="P13" i="1"/>
  <c r="P12" i="1"/>
  <c r="P11" i="1"/>
  <c r="G4" i="4"/>
  <c r="G5" i="4"/>
  <c r="G6" i="4"/>
  <c r="G7" i="4"/>
  <c r="G8" i="4"/>
  <c r="G9" i="4"/>
  <c r="G10" i="4"/>
  <c r="G11" i="4"/>
  <c r="G12" i="4"/>
  <c r="G13" i="4"/>
  <c r="G14" i="4"/>
  <c r="G3" i="4"/>
  <c r="F4" i="4"/>
  <c r="F5" i="4"/>
  <c r="F6" i="4"/>
  <c r="F7" i="4"/>
  <c r="F8" i="4"/>
  <c r="F9" i="4"/>
  <c r="F10" i="4"/>
  <c r="F11" i="4"/>
  <c r="F12" i="4"/>
  <c r="F13" i="4"/>
  <c r="F14" i="4"/>
  <c r="F3" i="4"/>
  <c r="P6" i="1" l="1"/>
  <c r="P7" i="1"/>
  <c r="F33" i="2"/>
  <c r="G33" i="2"/>
  <c r="H33" i="2" s="1"/>
  <c r="F34" i="2"/>
  <c r="G34" i="2"/>
  <c r="H34" i="2" s="1"/>
  <c r="F35" i="2"/>
  <c r="G35" i="2"/>
  <c r="H35" i="2" s="1"/>
  <c r="F36" i="2"/>
  <c r="G36" i="2"/>
  <c r="H36" i="2" s="1"/>
  <c r="F37" i="2"/>
  <c r="G37" i="2"/>
  <c r="H37" i="2" s="1"/>
  <c r="F38" i="2"/>
  <c r="G38" i="2"/>
  <c r="H38" i="2" s="1"/>
  <c r="F39" i="2"/>
  <c r="G39" i="2"/>
  <c r="H39" i="2" s="1"/>
  <c r="F40" i="2"/>
  <c r="G40" i="2"/>
  <c r="H40" i="2" s="1"/>
  <c r="F41" i="2"/>
  <c r="G41" i="2"/>
  <c r="H41" i="2" s="1"/>
  <c r="F42" i="2"/>
  <c r="G42" i="2"/>
  <c r="H42" i="2" s="1"/>
  <c r="F43" i="2"/>
  <c r="G43" i="2"/>
  <c r="H43" i="2" s="1"/>
  <c r="F44" i="2"/>
  <c r="G44" i="2"/>
  <c r="H44" i="2" s="1"/>
  <c r="F45" i="2"/>
  <c r="G45" i="2"/>
  <c r="H45" i="2" s="1"/>
  <c r="F46" i="2"/>
  <c r="G46" i="2"/>
  <c r="H46" i="2" s="1"/>
  <c r="F47" i="2"/>
  <c r="G47" i="2"/>
  <c r="H47" i="2" s="1"/>
  <c r="G32" i="2"/>
  <c r="H32" i="2" s="1"/>
  <c r="F32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32" i="2"/>
  <c r="D33" i="2"/>
  <c r="B28" i="2"/>
  <c r="B4" i="2"/>
  <c r="B5" i="2"/>
  <c r="B6" i="2"/>
  <c r="B7" i="2"/>
  <c r="B8" i="2"/>
  <c r="B9" i="2"/>
  <c r="B10" i="2"/>
  <c r="B11" i="2"/>
  <c r="B13" i="2"/>
  <c r="B14" i="2"/>
  <c r="B15" i="2"/>
  <c r="B16" i="2"/>
  <c r="B17" i="2"/>
  <c r="B18" i="2"/>
  <c r="B19" i="2"/>
  <c r="B20" i="2"/>
  <c r="B21" i="2"/>
  <c r="B22" i="2"/>
  <c r="B23" i="2"/>
  <c r="B24" i="2"/>
  <c r="B12" i="2"/>
  <c r="P14" i="1" l="1"/>
  <c r="J26" i="12" l="1"/>
  <c r="F26" i="12"/>
  <c r="L26" i="12"/>
  <c r="K26" i="12"/>
  <c r="I26" i="12"/>
  <c r="P26" i="12"/>
  <c r="H26" i="12"/>
  <c r="O26" i="12"/>
  <c r="G26" i="12"/>
  <c r="N26" i="12"/>
  <c r="E26" i="12"/>
  <c r="M26" i="12"/>
</calcChain>
</file>

<file path=xl/comments1.xml><?xml version="1.0" encoding="utf-8"?>
<comments xmlns="http://schemas.openxmlformats.org/spreadsheetml/2006/main">
  <authors>
    <author>tc={62049C3D-DF6D-4C27-9C4A-130543E2BDBE}</author>
  </authors>
  <commentList>
    <comment ref="B1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Esta estabamos evaluando si quitarla o moverla a otro de los pilares.</t>
        </r>
      </text>
    </comment>
  </commentList>
</comments>
</file>

<file path=xl/sharedStrings.xml><?xml version="1.0" encoding="utf-8"?>
<sst xmlns="http://schemas.openxmlformats.org/spreadsheetml/2006/main" count="1234" uniqueCount="347">
  <si>
    <t>CRECIMIENTO ECONÓMICO INCLUSIVO Y SOSTENIBLE</t>
  </si>
  <si>
    <t>IGUALDAD DE OPORTUNIDADES</t>
  </si>
  <si>
    <t>Democracia representativa</t>
  </si>
  <si>
    <t>Administración pública eficaz y transparente</t>
  </si>
  <si>
    <t>Sistema de justicia oportuno y predecible</t>
  </si>
  <si>
    <t>Seguridad y orden interno que garantizan derechos fundamentales</t>
  </si>
  <si>
    <t>Economía competitiva, formal, sostenible e inclusiva</t>
  </si>
  <si>
    <t>Libertad económica</t>
  </si>
  <si>
    <t>Manejo macroeconómico responsable</t>
  </si>
  <si>
    <t>Inclusión social y lucha contra la pobreza</t>
  </si>
  <si>
    <t>Salud de calidad</t>
  </si>
  <si>
    <t>Mercado laboral competitivo y sistema previsional efectivo</t>
  </si>
  <si>
    <t>Ciudadanía digital</t>
  </si>
  <si>
    <t>Docentes que inspiran</t>
  </si>
  <si>
    <t>Equidad, inclusión y diversidad en las empresas</t>
  </si>
  <si>
    <t>LINEAMIENTO</t>
  </si>
  <si>
    <t>NOMBRE</t>
  </si>
  <si>
    <t>INDICADOR</t>
  </si>
  <si>
    <t>UNIDAD</t>
  </si>
  <si>
    <t>FUENTE</t>
  </si>
  <si>
    <t>DESV.</t>
  </si>
  <si>
    <t>Posición en el ranking de Democracia</t>
  </si>
  <si>
    <t>Puesto (de 167)</t>
  </si>
  <si>
    <t>The Economist</t>
  </si>
  <si>
    <t>n.d.</t>
  </si>
  <si>
    <t>% de la población</t>
  </si>
  <si>
    <t>Percepción de la gestión pública regional</t>
  </si>
  <si>
    <t>% de la población adulta (buena o muy buena)</t>
  </si>
  <si>
    <t>Posición en el ranking de percepción de Corrupción</t>
  </si>
  <si>
    <t>Transparencia Internacional</t>
  </si>
  <si>
    <t>Resolución de expedientes judiciales</t>
  </si>
  <si>
    <t>Confianza en el Poder Judicial</t>
  </si>
  <si>
    <t>% de la población adulta que confía en el PJ</t>
  </si>
  <si>
    <t>Ipsos OP</t>
  </si>
  <si>
    <t>Victimización</t>
  </si>
  <si>
    <t>Conflictos sociales activos</t>
  </si>
  <si>
    <t>Conflictos sociales activos por cada mil habitantes</t>
  </si>
  <si>
    <t>BENCHMARK</t>
  </si>
  <si>
    <t>META</t>
  </si>
  <si>
    <t xml:space="preserve">Mejor posición hasta ahora </t>
  </si>
  <si>
    <t>Promedio Latam</t>
  </si>
  <si>
    <t>Mejor hasta ahora</t>
  </si>
  <si>
    <t>Crecimiento económico nacional</t>
  </si>
  <si>
    <t>PBI</t>
  </si>
  <si>
    <t>Var. % real prom. 
del quinquenio</t>
  </si>
  <si>
    <t>BCR</t>
  </si>
  <si>
    <t>Formalidad</t>
  </si>
  <si>
    <t>Empleo formal urbano</t>
  </si>
  <si>
    <t>% de la PEA ocupada urbana</t>
  </si>
  <si>
    <t>INEI</t>
  </si>
  <si>
    <t>Confianza para invertir</t>
  </si>
  <si>
    <t>Puntos</t>
  </si>
  <si>
    <t>APOYO Consultoría</t>
  </si>
  <si>
    <t>Manejo macroeconómico</t>
  </si>
  <si>
    <t>Inflación</t>
  </si>
  <si>
    <t>Var. % anual (fdp)</t>
  </si>
  <si>
    <t>Intereses de deuda pública</t>
  </si>
  <si>
    <t>% de la recaudación</t>
  </si>
  <si>
    <t>Promedio de los últimos 30 años (1990-2019)</t>
  </si>
  <si>
    <t xml:space="preserve">Promedio 10 años </t>
  </si>
  <si>
    <t>Rango meta</t>
  </si>
  <si>
    <t>PROMEDIO</t>
  </si>
  <si>
    <t>MAX</t>
  </si>
  <si>
    <t>MIN</t>
  </si>
  <si>
    <t>DESV</t>
  </si>
  <si>
    <t>Crec</t>
  </si>
  <si>
    <t>Manejo</t>
  </si>
  <si>
    <t>Total</t>
  </si>
  <si>
    <t>PILAR 1: CRECIMIENTO ECONÓMICO INCLUSIVO Y SOSTENIBLE</t>
  </si>
  <si>
    <t>Crecimiento económico en Lima</t>
  </si>
  <si>
    <t>PBI Lima</t>
  </si>
  <si>
    <t>Crecimiento económico fuera de Lima</t>
  </si>
  <si>
    <t>PBI Resto</t>
  </si>
  <si>
    <t>Entorno para invertir</t>
  </si>
  <si>
    <t>Confianza empresarial</t>
  </si>
  <si>
    <t>Índice, pdp.</t>
  </si>
  <si>
    <t>Salarios</t>
  </si>
  <si>
    <t>Salario nacional urbano</t>
  </si>
  <si>
    <t>Var. % real</t>
  </si>
  <si>
    <t>Solidez financiera</t>
  </si>
  <si>
    <t>Reservas internacionales</t>
  </si>
  <si>
    <t>% del PBI</t>
  </si>
  <si>
    <t>Deuda pública</t>
  </si>
  <si>
    <t>Percepción de riesgo</t>
  </si>
  <si>
    <t>Spread EMBIG</t>
  </si>
  <si>
    <t>%</t>
  </si>
  <si>
    <t>Brecha con respecto a Lima</t>
  </si>
  <si>
    <t>Promedio de los últimos 19 años</t>
  </si>
  <si>
    <t>Promedio de los últimos 13 años (2006-2019)</t>
  </si>
  <si>
    <t>Salud financiera</t>
  </si>
  <si>
    <t>Meta</t>
  </si>
  <si>
    <t>Promedio</t>
  </si>
  <si>
    <t>VAR 2021</t>
  </si>
  <si>
    <t>CAMBIO 2021</t>
  </si>
  <si>
    <t>LINK</t>
  </si>
  <si>
    <t>5. Economía competitiva, formal, sostenible e inclusiva</t>
  </si>
  <si>
    <t>https://estadisticas.bcrp.gob.pe/estadisticas/series/anuales/resultados/PM04935AA/html</t>
  </si>
  <si>
    <t>https://systems.inei.gob.pe/SIRTOD/app/consulta</t>
  </si>
  <si>
    <t>Confianza empresarial BCR (3 meses)</t>
  </si>
  <si>
    <t>https://estadisticas.bcrp.gob.pe/estadisticas/series/mensuales/resultados/PD38045AM/html</t>
  </si>
  <si>
    <t>Salario real nacional urbano</t>
  </si>
  <si>
    <t>ENAHO</t>
  </si>
  <si>
    <t>https://www.inei.gob.pe/media/MenuRecursivo/publicaciones_digitales/Est/Lib1820/libro.pdf</t>
  </si>
  <si>
    <t>6. Libertades económicas</t>
  </si>
  <si>
    <t>Puntaje (0 - 100)</t>
  </si>
  <si>
    <t>THF</t>
  </si>
  <si>
    <t>https://www.heritage.org/index/visualize</t>
  </si>
  <si>
    <t>7. Manejo macroeconómico responsable</t>
  </si>
  <si>
    <t xml:space="preserve">Inflación </t>
  </si>
  <si>
    <t>https://estadisticas.bcrp.gob.pe/estadisticas/series/anuales/resultados/PM05197PA/html</t>
  </si>
  <si>
    <t>https://estadisticas.bcrp.gob.pe/estadisticas/series/anuales/deuda-publica</t>
  </si>
  <si>
    <t>Riesgo país: Perú</t>
  </si>
  <si>
    <t>Spread EMBIG, %</t>
  </si>
  <si>
    <t>https://estadisticas.bcrp.gob.pe/estadisticas/series/diarias/resultados/PD04709XD/html</t>
  </si>
  <si>
    <t>Pago de intereses de deuda pública</t>
  </si>
  <si>
    <t>https://estadisticas.bcrp.gob.pe/estadisticas/series/anuales/resultado-economico</t>
  </si>
  <si>
    <t>Benchmark</t>
  </si>
  <si>
    <t>Explicación</t>
  </si>
  <si>
    <t xml:space="preserve">LINEAMIENTO 5 </t>
  </si>
  <si>
    <t>Índice</t>
  </si>
  <si>
    <t>Índice 0-10</t>
  </si>
  <si>
    <t>Convergencia de crecimiento regional</t>
  </si>
  <si>
    <t>LINEAMIENTO 7</t>
  </si>
  <si>
    <t>PM04935AA</t>
  </si>
  <si>
    <t>PBI niveles</t>
  </si>
  <si>
    <t>PBI quinquenio</t>
  </si>
  <si>
    <t>30 AÑOS</t>
  </si>
  <si>
    <t>Benchmark (explicación)</t>
  </si>
  <si>
    <t>INDICADOR AGREGADO</t>
  </si>
  <si>
    <t>Índice (0-100)</t>
  </si>
  <si>
    <t>Crecimiento económico: Lima región</t>
  </si>
  <si>
    <t>Crecimiento económico nacional (no incluye Lima región)</t>
  </si>
  <si>
    <t>S/ reales de 2021</t>
  </si>
  <si>
    <t>Inclusión financiera</t>
  </si>
  <si>
    <t>Promedio de los últimos 27 años</t>
  </si>
  <si>
    <t>Promedio de los últimos 24 años</t>
  </si>
  <si>
    <t>Solidez financiera: RIN</t>
  </si>
  <si>
    <t>CÁLCULO DEL ÍNDICE AGREGADO (PROPUESTA)</t>
  </si>
  <si>
    <t>promedio últimos 25 años</t>
  </si>
  <si>
    <t>*Lima y resto</t>
  </si>
  <si>
    <t xml:space="preserve">Crecimiento económico: Lima </t>
  </si>
  <si>
    <t>Crecimiento económico nacional (no incluye Lima)</t>
  </si>
  <si>
    <t>diferencia de crecimiento (indicador de convergencia de crecimiento regional)</t>
  </si>
  <si>
    <t>*Promedio últimos 25 años (o lo más largo que haya)</t>
  </si>
  <si>
    <t>*Cambiar a var. % real, sacar el promedio más antiguo que haya (2004?)</t>
  </si>
  <si>
    <t>*Sacar el promedio más antiguo que haya</t>
  </si>
  <si>
    <t>*Indice con respecto  2%</t>
  </si>
  <si>
    <t>*Indice con respecto a 30/35%</t>
  </si>
  <si>
    <t>Riesgo país</t>
  </si>
  <si>
    <t>*Promedio anual más largo que haya y promedio Latam</t>
  </si>
  <si>
    <t>*indicador por cada lineamiento</t>
  </si>
  <si>
    <t>*Agregar indicador WEF competitiveness report (puesto en el ranking y sacar el promedio de latam)</t>
  </si>
  <si>
    <t>*SH indicador de solidez en el sistema financiero (regulación macro prudencial)  / vulnerabiliad frente a sudden stop (reservas /PBI o deuda de corto plazo/imports)</t>
  </si>
  <si>
    <t>*indicador de inclusión financiera (SH)  clientes conc redito/depositos</t>
  </si>
  <si>
    <t>SALARIO</t>
  </si>
  <si>
    <t>IPC</t>
  </si>
  <si>
    <t>Crecimiento económico: región Costa</t>
  </si>
  <si>
    <t>Crecimiento económico: región Sierra</t>
  </si>
  <si>
    <t>Crecimiento económico: región Selva</t>
  </si>
  <si>
    <t>Población en situación de pobreza</t>
  </si>
  <si>
    <t>Hogares con acceso a agua, saneamiento básico y electricidad</t>
  </si>
  <si>
    <t>Variacion anual del %</t>
  </si>
  <si>
    <t>Número de profesionales de salud por c/ 10 000 personas</t>
  </si>
  <si>
    <t>Niños menores a 3 años con esquema de vacunación completo</t>
  </si>
  <si>
    <t>% de niños</t>
  </si>
  <si>
    <t>Empleo adecuado</t>
  </si>
  <si>
    <t>Población que accede a internet en el hogar</t>
  </si>
  <si>
    <t>Colegios con acceso a internet</t>
  </si>
  <si>
    <t>Mínimo nivel hasta ahora</t>
  </si>
  <si>
    <t>Mejor nivel hasta ahora</t>
  </si>
  <si>
    <t>Derechos civiles</t>
  </si>
  <si>
    <t>Abastecimiento de medicamentos</t>
  </si>
  <si>
    <t>Tasa neta de matrícula, educación inicial (edades 3-5)</t>
  </si>
  <si>
    <t>ESCALE - MINEDU</t>
  </si>
  <si>
    <t xml:space="preserve">Locales escolares públicos con tres servicios básicos </t>
  </si>
  <si>
    <t>MINEDU</t>
  </si>
  <si>
    <t>Ranking PAR - Aequales</t>
  </si>
  <si>
    <t>Mujeres CEO</t>
  </si>
  <si>
    <t>Brecha salarial por género</t>
  </si>
  <si>
    <t>% del salario masculino</t>
  </si>
  <si>
    <t>ENAHO, APOYO Consultoría</t>
  </si>
  <si>
    <t>Implementación de política de equidad de género</t>
  </si>
  <si>
    <t>Encuesta de equidad de género/ IPSOS</t>
  </si>
  <si>
    <t>% sí contribuye</t>
  </si>
  <si>
    <t>Percepción de OP sobre si consideran que las empresas están contribuyendo al desarrollo del país (de mi región)</t>
  </si>
  <si>
    <t>BUS OP/ IPSOS</t>
  </si>
  <si>
    <t>% íntegras y honestas</t>
  </si>
  <si>
    <t>Percepción de OP sobre integridad y honestidad de las empresas del sector privado</t>
  </si>
  <si>
    <t>-</t>
  </si>
  <si>
    <t>9. Salud de calidad</t>
  </si>
  <si>
    <t>https://www.inei.gob.pe/estadisticas/indice-tematico/sociales/</t>
  </si>
  <si>
    <t xml:space="preserve">% </t>
  </si>
  <si>
    <t>Número</t>
  </si>
  <si>
    <t>MINSA</t>
  </si>
  <si>
    <t>https://www.minsa.gob.pe/reunis/recursos_salud/index_camas_hospitalarias.asp</t>
  </si>
  <si>
    <t>Número de camas hospitalarias 
por c/ 10 000 personas</t>
  </si>
  <si>
    <t>10. Mercado laboral competitivo y sistema previsional efectivo</t>
  </si>
  <si>
    <t>% de la PEA urbana ocupada</t>
  </si>
  <si>
    <t>Sistema previsional</t>
  </si>
  <si>
    <t>11. Ciudadanía digital</t>
  </si>
  <si>
    <t>https://www.inei.gob.pe/biblioteca-virtual/boletines/tecnologias-de-la-informaciontic/1/</t>
  </si>
  <si>
    <t>Población que accede a internet en dispositivo móvil</t>
  </si>
  <si>
    <t>En rojo indicadores que falta definir.</t>
  </si>
  <si>
    <t>EMPRESARIOS COMPROMETIDOS CON EL DESARROLLO</t>
  </si>
  <si>
    <t>16. Equidad, inclusión y diversidad en las empresas</t>
  </si>
  <si>
    <t>Empresas TOP 10,000 que cuentan con políticas formales de equidad, inclusión y diversidad (género, poblaciones vulnerables, minorías)</t>
  </si>
  <si>
    <t>Indicador de acoso sexual</t>
  </si>
  <si>
    <t>% de mujeres en directorios y c-level 2</t>
  </si>
  <si>
    <r>
      <t xml:space="preserve">Brecha salarial 
</t>
    </r>
    <r>
      <rPr>
        <b/>
        <sz val="9"/>
        <rFont val="Arial"/>
        <family val="2"/>
      </rPr>
      <t>(estimación preliminar)</t>
    </r>
  </si>
  <si>
    <t>17. Empresas con propósito y estrategias de Valor Compartido</t>
  </si>
  <si>
    <t>18. Integridad en todas nuestras acciones</t>
  </si>
  <si>
    <r>
      <rPr>
        <b/>
        <sz val="14"/>
        <color rgb="FF700E3E"/>
        <rFont val="Arial"/>
        <family val="2"/>
      </rPr>
      <t>IPAE MIDE - CRECIMIENTO ECONÓMICO INCLUSIVO Y SOSTENIBLE</t>
    </r>
    <r>
      <rPr>
        <b/>
        <vertAlign val="superscript"/>
        <sz val="14"/>
        <color rgb="FF700E3E"/>
        <rFont val="Arial"/>
        <family val="2"/>
      </rPr>
      <t>1</t>
    </r>
  </si>
  <si>
    <t>Var. % real anual</t>
  </si>
  <si>
    <t>Desigualdad: Índice de Gini</t>
  </si>
  <si>
    <t>BM</t>
  </si>
  <si>
    <t>https://data.worldbank.org/indicator/SI.POV.GINI?locations=PE</t>
  </si>
  <si>
    <t>Participación y oportunidades económicas de las mujeres</t>
  </si>
  <si>
    <t>WEF</t>
  </si>
  <si>
    <t>https://www.weforum.org/reports?utf8=%E2%9C%93&amp;query=gender+gap</t>
  </si>
  <si>
    <t xml:space="preserve">EMBIG Perú </t>
  </si>
  <si>
    <t>Pbs</t>
  </si>
  <si>
    <t>Arancel promedio</t>
  </si>
  <si>
    <t>Brecha salarial</t>
  </si>
  <si>
    <t>IPAE MIDE - CRECIMIENTO ECONÓMICO INCLUSIVO Y SOSTENIBLE</t>
  </si>
  <si>
    <t>VAR 2020</t>
  </si>
  <si>
    <t>CAMBIO 2020</t>
  </si>
  <si>
    <t>Var. % real prom. del  quinquenio</t>
  </si>
  <si>
    <t>PENDIENTE</t>
  </si>
  <si>
    <t>Crecimiento generalizado (regiones de sierra y selva)</t>
  </si>
  <si>
    <t>Formalidad laboral</t>
  </si>
  <si>
    <t>% de la PEA</t>
  </si>
  <si>
    <t>MTPE, Sunat, INEI</t>
  </si>
  <si>
    <t>Acceso a servicios básicos</t>
  </si>
  <si>
    <t>IRPG</t>
  </si>
  <si>
    <t>Pendiente cálculo a nivel nacional</t>
  </si>
  <si>
    <t>CPC</t>
  </si>
  <si>
    <t>Sunat, MEF</t>
  </si>
  <si>
    <t>https://www.mef.gob.pe/es/?option=com_content&amp;language=es-ES&amp;Itemid=100874&amp;lang=es-ES&amp;view=article&amp;id=292</t>
  </si>
  <si>
    <t>% población adulta</t>
  </si>
  <si>
    <t>https://estadisticas.bcrp.gob.pe/estadisticas/series/anuales/cuentas-monetarias</t>
  </si>
  <si>
    <t>Puntaje (0 - 1)</t>
  </si>
  <si>
    <r>
      <rPr>
        <i/>
        <vertAlign val="superscript"/>
        <sz val="9"/>
        <rFont val="Arial"/>
        <family val="2"/>
      </rPr>
      <t>1</t>
    </r>
    <r>
      <rPr>
        <i/>
        <sz val="9"/>
        <rFont val="Arial"/>
        <family val="2"/>
      </rPr>
      <t xml:space="preserve"> A partir del 2017 se descontinuó esta desagregación, consideramos "Distortive effect of taxes and subsidies on competition".</t>
    </r>
  </si>
  <si>
    <r>
      <rPr>
        <i/>
        <vertAlign val="superscript"/>
        <sz val="9"/>
        <rFont val="Arial"/>
        <family val="2"/>
      </rPr>
      <t xml:space="preserve">2 </t>
    </r>
    <r>
      <rPr>
        <i/>
        <sz val="9"/>
        <rFont val="Arial"/>
        <family val="2"/>
      </rPr>
      <t>Solo disponible a partir del 2021.</t>
    </r>
  </si>
  <si>
    <t>Sierra y Selva</t>
  </si>
  <si>
    <t>Costa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</si>
  <si>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</si>
  <si>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</si>
  <si>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</si>
  <si>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</si>
  <si>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</si>
  <si>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</si>
  <si>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</si>
  <si>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</si>
  <si>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</si>
  <si>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</si>
  <si>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</si>
  <si>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</si>
  <si>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</si>
  <si>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</si>
  <si>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</si>
  <si>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</si>
  <si>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</si>
  <si>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</si>
  <si>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</si>
  <si>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</si>
  <si>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</si>
  <si>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</si>
  <si>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</si>
  <si>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</si>
  <si>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Producto bruto interno por tipo de gasto (millones S/ 2007) - PBI</t>
  </si>
  <si>
    <t>Lima provincias</t>
  </si>
  <si>
    <t>Ingresos corrientes del gobierno general (millones S/) - Ingresos Tributarios</t>
  </si>
  <si>
    <t>Operaciones del sector público no financiero - Intereses - Deuda Externa (millones S/)</t>
  </si>
  <si>
    <t>Operaciones del sector público no financiero - Intereses - Deuda Interna (millones S/)</t>
  </si>
  <si>
    <t>ipc 2009</t>
  </si>
  <si>
    <t>ipc2021</t>
  </si>
  <si>
    <t>https://www.mef.gob.pe/index.php?option=com_content&amp;view=article&amp;id=6809&amp;Itemid=100874&amp;lang=es</t>
  </si>
  <si>
    <t>https://www.mef.gob.pe/contenidos/pol_econ/documentos/c_Incumplimiento_IGV_SUNAT.pdf</t>
  </si>
  <si>
    <t>https://www.mef.gob.pe/contenidos/pol_econ/documentos/incumplimiento_IGV_SUNAT.pdf</t>
  </si>
  <si>
    <t>https://www.mef.gob.pe/contenidos/pol_econ/documentos/incumplimiento_renta_SUNAT.pdf</t>
  </si>
  <si>
    <t>https://www.mef.gob.pe/contenidos/tributos/doc/incumplimiento_IGV.pdf</t>
  </si>
  <si>
    <t>https://www.mef.gob.pe/contenidos/tributos/doc/incumplimiento_impuesto_renta.pdf</t>
  </si>
  <si>
    <t>https://www.mef.gob.pe/contenidos/tributos/doc/Incumplimiento_IR3era_2018.pdf</t>
  </si>
  <si>
    <t>publicacion 2021</t>
  </si>
  <si>
    <t>Percepción de progreso</t>
  </si>
  <si>
    <t>% que considera que el Perú está progresando</t>
  </si>
  <si>
    <t>IPSOS</t>
  </si>
  <si>
    <t>Salario promedio del sector privado</t>
  </si>
  <si>
    <t>Cartera administrada por AFP entre trabajadores urbanos</t>
  </si>
  <si>
    <t>SBS, INEI</t>
  </si>
  <si>
    <t>% sí cuenta con una política formal</t>
  </si>
  <si>
    <t>% mujeres CEO</t>
  </si>
  <si>
    <t>Mujeres en 1er nivel</t>
  </si>
  <si>
    <t>% mujeres 1er nivel</t>
  </si>
  <si>
    <t>Mejor hasta ahora sin COVID</t>
  </si>
  <si>
    <t xml:space="preserve">Tasa de transición a educación superior </t>
  </si>
  <si>
    <t>% de egresados del nivel educativo anterior</t>
  </si>
  <si>
    <t>Tamaño promedio de clase (educación primaria, urbano)</t>
  </si>
  <si>
    <t>Número de alumnos</t>
  </si>
  <si>
    <t>Tamaño promedio de clase (educación primaria, rural)</t>
  </si>
  <si>
    <t>Cambios de ministro de educación</t>
  </si>
  <si>
    <t>Número de nombramientos en el año</t>
  </si>
  <si>
    <t>Presupuesto ejecutado del sector educación para inversión y compra de bienes y servicios</t>
  </si>
  <si>
    <t>MEF</t>
  </si>
  <si>
    <t>Menor</t>
  </si>
  <si>
    <t>Mayor</t>
  </si>
  <si>
    <t>Profesores nombrados a través de concurso público</t>
  </si>
  <si>
    <t>INCORE - IPE</t>
  </si>
  <si>
    <t>MTPE, INEI</t>
  </si>
  <si>
    <t>LAPOP/ Ipsos OP</t>
  </si>
  <si>
    <t>ENAPRES - INEI</t>
  </si>
  <si>
    <t>Latinobarómetro/ Ipsos desde 2022</t>
  </si>
  <si>
    <t>ENAHO - INEI</t>
  </si>
  <si>
    <t>Poder Judicial/ INCORE-IPE</t>
  </si>
  <si>
    <t>Defensoría del Pueblo/ INCORE-IPE</t>
  </si>
  <si>
    <t>% de la población víctima de un delito cometido con arma de fuego en los últimos 12 meses</t>
  </si>
  <si>
    <t>PRINCIPIO</t>
  </si>
  <si>
    <t>PILAR 1: INSTITUCIONALIDAD SÓLIDA</t>
  </si>
  <si>
    <t>PILAR 2: CRECIMIENTO ECONÓMICO INCLUSIVO Y SOSTENIBLE</t>
  </si>
  <si>
    <t>PILAR 3: EDUCACIÓN DE CALIDAD</t>
  </si>
  <si>
    <t>PILAR 4: IGUALDAD DE OPORTUNIDADES</t>
  </si>
  <si>
    <t>Libertades económicas</t>
  </si>
  <si>
    <t>Empresas con estrategias de valor compartido (sostenibilidad, responsabilidad social y ambiental)</t>
  </si>
  <si>
    <t>Empresarios íntegros y con propósito</t>
  </si>
  <si>
    <t>Instituciones educativas con propósito</t>
  </si>
  <si>
    <t>Un sistema educativo que habilite y empodere</t>
  </si>
  <si>
    <t>Asegurar que las personas aprendan</t>
  </si>
  <si>
    <t>Var. % anual (fin de periodo)</t>
  </si>
  <si>
    <t>Apoyo a  la democracia</t>
  </si>
  <si>
    <t>Indicador integrado de satisfacción de servicios públicos</t>
  </si>
  <si>
    <t>% de expedientes resueltos del total de carga judicial</t>
  </si>
  <si>
    <t>% de la población (satisfecho/muy satisfecho) con al menos dos servicios (salud pública, escuelas públicas, vías)</t>
  </si>
  <si>
    <t>Confianza ciudadana: Confianza en autoridad local (gobernador)</t>
  </si>
  <si>
    <t>% que confía en el gobernador regional</t>
  </si>
  <si>
    <t>Confianza ciudadana: Confianza en autoridad local (alcalde)</t>
  </si>
  <si>
    <t>% que confía en el alcalde distrital</t>
  </si>
  <si>
    <t>Percepción sobre la contribución de las empresas al desarrollo del país (región)</t>
  </si>
  <si>
    <t xml:space="preserve">(Percepción OP) sobre la contribución de las empresas al desarrollo del país (región) </t>
  </si>
  <si>
    <t>(Percepción OP) sobre integridad y honestidad de las empresas privadas</t>
  </si>
  <si>
    <t>% sí son íntegras y honestas</t>
  </si>
  <si>
    <t>Percepción sobre la integridad y honestidad de las empresas privadas</t>
  </si>
  <si>
    <t>Indicador integrado de políticas de equidad, inclusión y diversidad (equidad de género, comunidad LGBTQ+, personas con discapacidad, étnico racial)</t>
  </si>
  <si>
    <t>% que tiene política formal o algunos lineamientos</t>
  </si>
  <si>
    <t>Año base</t>
  </si>
  <si>
    <t>Año base, no se incluye en el indicador agregado</t>
  </si>
  <si>
    <t>Estudiantes de 2do de primaria con rendimiento satisfactorio en lectura</t>
  </si>
  <si>
    <t>Estudiantes de 2do de primaria con rendimiento satisfactorio en matemáticas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</si>
</sst>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0.0"/>
    <numFmt numFmtId="167" formatCode="_ * #,##0.00_ ;_ * \-#,##0.00_ ;_ * &quot;-&quot;??_ ;_ @_ "/>
  </numFmts>
  <fonts count="30" x14ac:knownFonts="1">
    <font>
      <sz val="11"/>
      <color theme="1"/>
      <name val="Calibri"/>
      <family val="2"/>
      <scheme val="minor"/>
    </font>
    <font>
      <b/>
      <sz val="14"/>
      <color rgb="FF700E3E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3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b/>
      <sz val="9"/>
      <name val="Arial"/>
      <family val="2"/>
    </font>
    <font>
      <b/>
      <vertAlign val="superscript"/>
      <sz val="14"/>
      <color rgb="FF700E3E"/>
      <name val="Arial"/>
      <family val="2"/>
    </font>
    <font>
      <u/>
      <sz val="11"/>
      <name val="Calibri"/>
      <family val="2"/>
      <scheme val="minor"/>
    </font>
    <font>
      <sz val="9"/>
      <color rgb="FFFF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Georgia"/>
      <family val="1"/>
    </font>
    <font>
      <i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21" fillId="0" borderId="0"/>
    <xf numFmtId="167" fontId="23" fillId="0" borderId="0" applyFont="0" applyFill="0" applyBorder="0" applyAlignment="0" applyProtection="0"/>
    <xf numFmtId="0" fontId="23" fillId="0" borderId="0"/>
  </cellStyleXfs>
  <cellXfs count="14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0" fontId="0" fillId="0" borderId="0" xfId="0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4" fillId="0" borderId="0" xfId="1"/>
    <xf numFmtId="0" fontId="6" fillId="0" borderId="0" xfId="1" applyFont="1"/>
    <xf numFmtId="0" fontId="7" fillId="0" borderId="0" xfId="0" applyFont="1"/>
    <xf numFmtId="0" fontId="6" fillId="4" borderId="0" xfId="1" applyFont="1" applyFill="1"/>
    <xf numFmtId="164" fontId="2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left" indent="2"/>
    </xf>
    <xf numFmtId="0" fontId="3" fillId="0" borderId="1" xfId="0" applyFont="1" applyBorder="1" applyAlignment="1">
      <alignment horizontal="left" vertical="center" indent="2"/>
    </xf>
    <xf numFmtId="164" fontId="5" fillId="0" borderId="2" xfId="1" applyNumberFormat="1" applyFont="1" applyFill="1" applyBorder="1" applyAlignment="1">
      <alignment horizontal="left" vertical="center" indent="2"/>
    </xf>
    <xf numFmtId="164" fontId="2" fillId="0" borderId="2" xfId="0" applyNumberFormat="1" applyFont="1" applyBorder="1" applyAlignment="1">
      <alignment horizontal="left" vertical="center" indent="2"/>
    </xf>
    <xf numFmtId="164" fontId="5" fillId="0" borderId="2" xfId="1" applyNumberFormat="1" applyFont="1" applyBorder="1" applyAlignment="1">
      <alignment horizontal="left" vertical="center" indent="2"/>
    </xf>
    <xf numFmtId="0" fontId="9" fillId="0" borderId="0" xfId="0" applyFont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6" borderId="2" xfId="0" applyNumberFormat="1" applyFont="1" applyFill="1" applyBorder="1" applyAlignment="1">
      <alignment horizontal="center" vertical="center"/>
    </xf>
    <xf numFmtId="164" fontId="11" fillId="7" borderId="2" xfId="0" applyNumberFormat="1" applyFont="1" applyFill="1" applyBorder="1" applyAlignment="1">
      <alignment horizontal="right" vertical="center"/>
    </xf>
    <xf numFmtId="164" fontId="2" fillId="8" borderId="2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left" vertical="center" indent="2"/>
    </xf>
    <xf numFmtId="0" fontId="2" fillId="4" borderId="2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indent="1"/>
    </xf>
    <xf numFmtId="0" fontId="3" fillId="9" borderId="1" xfId="0" applyFont="1" applyFill="1" applyBorder="1" applyAlignment="1">
      <alignment horizontal="right" vertical="center"/>
    </xf>
    <xf numFmtId="0" fontId="3" fillId="9" borderId="1" xfId="0" applyFont="1" applyFill="1" applyBorder="1" applyAlignment="1">
      <alignment horizontal="left" vertical="center" indent="2"/>
    </xf>
    <xf numFmtId="0" fontId="2" fillId="9" borderId="2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0" fontId="2" fillId="9" borderId="4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 indent="1"/>
    </xf>
    <xf numFmtId="0" fontId="2" fillId="9" borderId="4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right" vertical="center"/>
    </xf>
    <xf numFmtId="0" fontId="0" fillId="9" borderId="8" xfId="0" applyFill="1" applyBorder="1"/>
    <xf numFmtId="0" fontId="18" fillId="0" borderId="2" xfId="0" applyFont="1" applyBorder="1" applyAlignment="1">
      <alignment horizontal="left" vertical="center" wrapText="1"/>
    </xf>
    <xf numFmtId="164" fontId="2" fillId="7" borderId="2" xfId="0" applyNumberFormat="1" applyFont="1" applyFill="1" applyBorder="1" applyAlignment="1">
      <alignment horizontal="center" vertical="center"/>
    </xf>
    <xf numFmtId="0" fontId="0" fillId="9" borderId="6" xfId="0" applyFill="1" applyBorder="1"/>
    <xf numFmtId="164" fontId="2" fillId="7" borderId="2" xfId="0" applyNumberFormat="1" applyFont="1" applyFill="1" applyBorder="1" applyAlignment="1">
      <alignment horizontal="right" vertical="center"/>
    </xf>
    <xf numFmtId="164" fontId="2" fillId="7" borderId="2" xfId="0" applyNumberFormat="1" applyFont="1" applyFill="1" applyBorder="1" applyAlignment="1">
      <alignment horizontal="left" vertical="center" indent="2"/>
    </xf>
    <xf numFmtId="0" fontId="19" fillId="0" borderId="0" xfId="0" applyFont="1" applyAlignment="1">
      <alignment horizontal="left" vertical="center"/>
    </xf>
    <xf numFmtId="0" fontId="18" fillId="7" borderId="2" xfId="0" applyFont="1" applyFill="1" applyBorder="1" applyAlignment="1">
      <alignment horizontal="left" vertical="center" wrapText="1"/>
    </xf>
    <xf numFmtId="166" fontId="2" fillId="9" borderId="1" xfId="0" applyNumberFormat="1" applyFont="1" applyFill="1" applyBorder="1" applyAlignment="1">
      <alignment horizontal="right" vertical="center"/>
    </xf>
    <xf numFmtId="0" fontId="19" fillId="10" borderId="0" xfId="0" applyFont="1" applyFill="1" applyAlignment="1">
      <alignment horizontal="left" vertical="center"/>
    </xf>
    <xf numFmtId="0" fontId="1" fillId="10" borderId="0" xfId="0" applyFont="1" applyFill="1" applyAlignment="1">
      <alignment horizontal="left" vertical="center"/>
    </xf>
    <xf numFmtId="0" fontId="0" fillId="10" borderId="0" xfId="0" applyFill="1"/>
    <xf numFmtId="0" fontId="20" fillId="0" borderId="0" xfId="0" applyFont="1"/>
    <xf numFmtId="0" fontId="3" fillId="0" borderId="0" xfId="0" applyFont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0" fillId="4" borderId="0" xfId="0" applyFill="1"/>
    <xf numFmtId="0" fontId="3" fillId="0" borderId="0" xfId="0" applyFont="1" applyAlignment="1">
      <alignment horizontal="right" vertical="center"/>
    </xf>
    <xf numFmtId="166" fontId="2" fillId="9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9" borderId="1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/>
    </xf>
    <xf numFmtId="166" fontId="0" fillId="9" borderId="0" xfId="0" applyNumberFormat="1" applyFill="1"/>
    <xf numFmtId="1" fontId="0" fillId="0" borderId="0" xfId="0" applyNumberFormat="1"/>
    <xf numFmtId="0" fontId="0" fillId="9" borderId="0" xfId="0" applyFill="1" applyAlignment="1">
      <alignment horizontal="right"/>
    </xf>
    <xf numFmtId="164" fontId="3" fillId="7" borderId="2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3" fillId="9" borderId="1" xfId="0" applyNumberFormat="1" applyFont="1" applyFill="1" applyBorder="1" applyAlignment="1">
      <alignment horizontal="right" vertical="center"/>
    </xf>
    <xf numFmtId="0" fontId="0" fillId="9" borderId="9" xfId="0" applyFill="1" applyBorder="1"/>
    <xf numFmtId="0" fontId="2" fillId="9" borderId="9" xfId="0" applyFont="1" applyFill="1" applyBorder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0" fillId="11" borderId="0" xfId="0" applyFill="1"/>
    <xf numFmtId="166" fontId="22" fillId="0" borderId="0" xfId="0" applyNumberFormat="1" applyFont="1"/>
    <xf numFmtId="1" fontId="22" fillId="0" borderId="0" xfId="0" applyNumberFormat="1" applyFont="1"/>
    <xf numFmtId="166" fontId="22" fillId="0" borderId="0" xfId="0" applyNumberFormat="1" applyFont="1" applyAlignment="1">
      <alignment horizontal="right"/>
    </xf>
    <xf numFmtId="0" fontId="22" fillId="10" borderId="0" xfId="0" applyFont="1" applyFill="1"/>
    <xf numFmtId="1" fontId="22" fillId="10" borderId="0" xfId="0" applyNumberFormat="1" applyFont="1" applyFill="1"/>
    <xf numFmtId="166" fontId="22" fillId="10" borderId="0" xfId="0" applyNumberFormat="1" applyFont="1" applyFill="1"/>
    <xf numFmtId="0" fontId="0" fillId="11" borderId="0" xfId="0" applyFill="1" applyAlignment="1">
      <alignment horizontal="right"/>
    </xf>
    <xf numFmtId="164" fontId="3" fillId="0" borderId="2" xfId="0" applyNumberFormat="1" applyFont="1" applyBorder="1" applyAlignment="1">
      <alignment horizontal="left" vertical="center" wrapText="1" indent="2"/>
    </xf>
    <xf numFmtId="0" fontId="24" fillId="0" borderId="0" xfId="0" applyFont="1"/>
    <xf numFmtId="0" fontId="25" fillId="0" borderId="0" xfId="0" applyFont="1" applyAlignment="1">
      <alignment horizontal="left" vertical="center"/>
    </xf>
    <xf numFmtId="0" fontId="24" fillId="0" borderId="0" xfId="0" applyFont="1" applyFill="1"/>
    <xf numFmtId="0" fontId="24" fillId="11" borderId="0" xfId="0" applyFont="1" applyFill="1"/>
    <xf numFmtId="0" fontId="24" fillId="0" borderId="0" xfId="0" applyFont="1" applyAlignment="1">
      <alignment horizontal="center"/>
    </xf>
    <xf numFmtId="0" fontId="24" fillId="7" borderId="0" xfId="0" applyFont="1" applyFill="1"/>
    <xf numFmtId="0" fontId="24" fillId="7" borderId="0" xfId="0" applyFont="1" applyFill="1" applyAlignment="1">
      <alignment horizontal="right"/>
    </xf>
    <xf numFmtId="0" fontId="26" fillId="0" borderId="0" xfId="0" applyFont="1"/>
    <xf numFmtId="166" fontId="26" fillId="7" borderId="0" xfId="0" applyNumberFormat="1" applyFont="1" applyFill="1"/>
    <xf numFmtId="166" fontId="26" fillId="7" borderId="0" xfId="0" applyNumberFormat="1" applyFont="1" applyFill="1" applyAlignment="1">
      <alignment horizontal="right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wrapText="1"/>
    </xf>
    <xf numFmtId="166" fontId="24" fillId="7" borderId="0" xfId="0" applyNumberFormat="1" applyFont="1" applyFill="1" applyAlignment="1">
      <alignment horizontal="right"/>
    </xf>
    <xf numFmtId="0" fontId="27" fillId="0" borderId="0" xfId="0" applyFont="1" applyFill="1"/>
    <xf numFmtId="166" fontId="27" fillId="7" borderId="0" xfId="0" applyNumberFormat="1" applyFont="1" applyFill="1"/>
    <xf numFmtId="166" fontId="24" fillId="0" borderId="0" xfId="0" applyNumberFormat="1" applyFont="1" applyAlignment="1">
      <alignment horizontal="right"/>
    </xf>
    <xf numFmtId="166" fontId="24" fillId="0" borderId="0" xfId="0" applyNumberFormat="1" applyFont="1"/>
    <xf numFmtId="0" fontId="27" fillId="7" borderId="0" xfId="0" applyFont="1" applyFill="1" applyAlignment="1">
      <alignment horizontal="center"/>
    </xf>
    <xf numFmtId="0" fontId="27" fillId="0" borderId="0" xfId="0" applyFont="1"/>
    <xf numFmtId="0" fontId="27" fillId="7" borderId="0" xfId="0" applyFont="1" applyFill="1"/>
    <xf numFmtId="0" fontId="27" fillId="0" borderId="0" xfId="0" applyFont="1" applyAlignment="1">
      <alignment vertical="center"/>
    </xf>
    <xf numFmtId="166" fontId="27" fillId="7" borderId="0" xfId="0" applyNumberFormat="1" applyFont="1" applyFill="1" applyAlignment="1">
      <alignment horizontal="right"/>
    </xf>
    <xf numFmtId="0" fontId="28" fillId="0" borderId="0" xfId="0" applyFont="1"/>
    <xf numFmtId="0" fontId="27" fillId="0" borderId="0" xfId="4" applyFont="1" applyAlignment="1">
      <alignment wrapText="1"/>
    </xf>
    <xf numFmtId="0" fontId="27" fillId="0" borderId="0" xfId="4" applyFont="1"/>
    <xf numFmtId="166" fontId="27" fillId="0" borderId="0" xfId="0" applyNumberFormat="1" applyFont="1" applyAlignment="1">
      <alignment horizontal="right" vertical="center"/>
    </xf>
    <xf numFmtId="166" fontId="27" fillId="0" borderId="0" xfId="4" applyNumberFormat="1" applyFont="1" applyAlignment="1">
      <alignment horizontal="right"/>
    </xf>
    <xf numFmtId="0" fontId="27" fillId="0" borderId="0" xfId="0" applyFont="1" applyFill="1" applyAlignment="1">
      <alignment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vertical="center"/>
    </xf>
    <xf numFmtId="166" fontId="29" fillId="7" borderId="0" xfId="0" applyNumberFormat="1" applyFont="1" applyFill="1"/>
    <xf numFmtId="166" fontId="29" fillId="7" borderId="0" xfId="0" applyNumberFormat="1" applyFont="1" applyFill="1" applyAlignment="1">
      <alignment horizontal="right"/>
    </xf>
    <xf numFmtId="0" fontId="26" fillId="0" borderId="0" xfId="0" applyFont="1" applyAlignment="1">
      <alignment horizontal="right"/>
    </xf>
    <xf numFmtId="0" fontId="26" fillId="7" borderId="0" xfId="0" applyFont="1" applyFill="1" applyAlignment="1">
      <alignment horizontal="right"/>
    </xf>
    <xf numFmtId="0" fontId="22" fillId="0" borderId="0" xfId="0" applyFont="1" applyAlignment="1">
      <alignment horizontal="left"/>
    </xf>
    <xf numFmtId="0" fontId="22" fillId="10" borderId="0" xfId="0" applyFont="1" applyFill="1" applyAlignment="1">
      <alignment horizontal="left"/>
    </xf>
    <xf numFmtId="0" fontId="2" fillId="9" borderId="6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3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10" xfId="0" applyFont="1" applyFill="1" applyBorder="1" applyAlignment="1">
      <alignment horizontal="left" vertical="center" wrapText="1"/>
    </xf>
    <xf numFmtId="0" fontId="2" fillId="9" borderId="11" xfId="0" applyFont="1" applyFill="1" applyBorder="1" applyAlignment="1">
      <alignment horizontal="left" vertical="center" wrapText="1"/>
    </xf>
    <xf numFmtId="0" fontId="2" fillId="9" borderId="12" xfId="0" applyFont="1" applyFill="1" applyBorder="1" applyAlignment="1">
      <alignment horizontal="left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</cellXfs>
  <cellStyles count="5">
    <cellStyle name="Comma 2" xfId="3"/>
    <cellStyle name="Hipervínculo" xfId="1" builtinId="8"/>
    <cellStyle name="Normal" xfId="0" builtinId="0"/>
    <cellStyle name="Normal 2" xfId="2"/>
    <cellStyle name="Normal 3" xfId="4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Pilar</a:t>
            </a:r>
            <a:r>
              <a:rPr lang="es-PE" baseline="0"/>
              <a:t>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'PILAR 2. IGUALDAD'!$E$32</c:f>
              <c:strCache>
                <c:ptCount val="1"/>
                <c:pt idx="0">
                  <c:v>Crec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'PILAR 2. IGUALDAD'!$F$31:$Q$31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'PILAR 2. IGUALDAD'!$F$32:$Q$32</c:f>
              <c:numCache>
                <c:formatCode>0.0</c:formatCode>
                <c:ptCount val="12"/>
                <c:pt idx="0">
                  <c:v>0.37517039612103342</c:v>
                </c:pt>
                <c:pt idx="1">
                  <c:v>0.60047456915473174</c:v>
                </c:pt>
                <c:pt idx="2">
                  <c:v>2.5540719428339731</c:v>
                </c:pt>
                <c:pt idx="3">
                  <c:v>1.8307348330010829</c:v>
                </c:pt>
                <c:pt idx="4">
                  <c:v>1.9427472204493084</c:v>
                </c:pt>
                <c:pt idx="5">
                  <c:v>1.3772083192829212</c:v>
                </c:pt>
                <c:pt idx="6">
                  <c:v>1.6217305371518933</c:v>
                </c:pt>
                <c:pt idx="7">
                  <c:v>0.8131402545281633</c:v>
                </c:pt>
                <c:pt idx="8">
                  <c:v>0.92653819205925692</c:v>
                </c:pt>
                <c:pt idx="9">
                  <c:v>0.67579729703803471</c:v>
                </c:pt>
                <c:pt idx="10">
                  <c:v>-2.591622454955838</c:v>
                </c:pt>
                <c:pt idx="11">
                  <c:v>-1.2658418902581747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4-44BA-AF40-107CCCCD1AB5}"/>
            </c:ext>
          </c:extLst>
        </c:ser>
        <c:ser>
          <c:idx val="1"/>
          <c:order val="1"/>
          <c:tx>
            <c:strRef>
              <c:f>'PILAR 2. IGUALDAD'!$E$33</c:f>
              <c:strCache>
                <c:ptCount val="1"/>
                <c:pt idx="0">
                  <c:v>Manejo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'PILAR 2. IGUALDAD'!$F$31:$Q$31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'PILAR 2. IGUALDAD'!$F$33:$Q$33</c:f>
              <c:numCache>
                <c:formatCode>0.0</c:formatCode>
                <c:ptCount val="12"/>
                <c:pt idx="0">
                  <c:v>0.40365644047685134</c:v>
                </c:pt>
                <c:pt idx="1">
                  <c:v>-0.12289203065605162</c:v>
                </c:pt>
                <c:pt idx="2">
                  <c:v>1.3315774063319477</c:v>
                </c:pt>
                <c:pt idx="3">
                  <c:v>1.2232900852179065</c:v>
                </c:pt>
                <c:pt idx="4">
                  <c:v>0.94032997228700188</c:v>
                </c:pt>
                <c:pt idx="5">
                  <c:v>0.13981405222278503</c:v>
                </c:pt>
                <c:pt idx="6">
                  <c:v>0.12939506560416891</c:v>
                </c:pt>
                <c:pt idx="7">
                  <c:v>0.46184429853005993</c:v>
                </c:pt>
                <c:pt idx="8">
                  <c:v>-0.1736096256182727</c:v>
                </c:pt>
                <c:pt idx="9">
                  <c:v>0.25936358520782044</c:v>
                </c:pt>
                <c:pt idx="10">
                  <c:v>-0.55180883086946231</c:v>
                </c:pt>
                <c:pt idx="11">
                  <c:v>-1.1179929444695536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4-44BA-AF40-107CCCCD1AB5}"/>
            </c:ext>
          </c:extLst>
        </c:ser>
        <c:ser>
          <c:idx val="2"/>
          <c:order val="2"/>
          <c:tx>
            <c:strRef>
              <c:f>'PILAR 2. IGUALDAD'!$E$34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'PILAR 2. IGUALDAD'!$F$31:$Q$31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'PILAR 2. IGUALDAD'!$F$34:$Q$34</c:f>
              <c:numCache>
                <c:formatCode>0.0</c:formatCode>
                <c:ptCount val="12"/>
                <c:pt idx="0">
                  <c:v>0.38941341829894238</c:v>
                </c:pt>
                <c:pt idx="1">
                  <c:v>0.23879126924934008</c:v>
                </c:pt>
                <c:pt idx="2">
                  <c:v>1.9428246745829605</c:v>
                </c:pt>
                <c:pt idx="3">
                  <c:v>1.5270124591094947</c:v>
                </c:pt>
                <c:pt idx="4">
                  <c:v>1.4415385963681551</c:v>
                </c:pt>
                <c:pt idx="5">
                  <c:v>0.75851118575285315</c:v>
                </c:pt>
                <c:pt idx="6">
                  <c:v>0.87556280137803111</c:v>
                </c:pt>
                <c:pt idx="7">
                  <c:v>0.63749227652911156</c:v>
                </c:pt>
                <c:pt idx="8">
                  <c:v>0.37646428322049208</c:v>
                </c:pt>
                <c:pt idx="9">
                  <c:v>0.46758044112292757</c:v>
                </c:pt>
                <c:pt idx="10">
                  <c:v>-1.5717156429126502</c:v>
                </c:pt>
                <c:pt idx="11">
                  <c:v>-1.191917417363864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54-44BA-AF40-107CCCCD1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82927"/>
        <c:axId val="57081263"/>
      </c:lineChart>
      <c:catAx>
        <c:axId val="57082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081263"/>
        <c:crosses val="autoZero"/>
        <c:auto val="1"/>
        <c:lblAlgn val="ctr"/>
        <c:lblOffset val="100"/>
        <c:noMultiLvlLbl val="0"/>
      </c:catAx>
      <c:valAx>
        <c:axId val="5708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57082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136906</xdr:colOff>
      <xdr:row>35</xdr:row>
      <xdr:rowOff>42126</xdr:rowOff>
    </xdr:from>
    <xdr:to>
      <xdr:col>13</xdr:col>
      <xdr:colOff>382624</xdr:colOff>
      <xdr:row>54</xdr:row>
      <xdr:rowOff>178643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84F98C-43F8-44C8-97F2-2A44604FA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375957</xdr:colOff>
      <xdr:row>0</xdr:row>
      <xdr:rowOff>100853</xdr:rowOff>
    </xdr:from>
    <xdr:to>
      <xdr:col>14</xdr:col>
      <xdr:colOff>175932</xdr:colOff>
      <xdr:row>42</xdr:row>
      <xdr:rowOff>53228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8CB74A-6CA2-4BA1-A99D-9F27DAA75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57" y="100853"/>
          <a:ext cx="7419975" cy="795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291353</xdr:colOff>
      <xdr:row>0</xdr:row>
      <xdr:rowOff>112059</xdr:rowOff>
    </xdr:from>
    <xdr:to>
      <xdr:col>24</xdr:col>
      <xdr:colOff>260701</xdr:colOff>
      <xdr:row>41</xdr:row>
      <xdr:rowOff>44824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F0B0C7-645F-40FC-AAD3-86456FA41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9353" y="112059"/>
          <a:ext cx="7589348" cy="774326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drea Sotelo Redhead" id="{90F80DC3-7462-44A0-A296-A8F6803C4CFF}" userId="S::asotelo@apoyoconsultoria.com::df956875-4fd5-4637-b7a4-ff17d42fadfc" providerId="AD"/>
</personList>
</file>

<file path=xl/theme/theme1.xml><?xml version="1.0" encoding="utf-8"?>
<a:theme xmlns:a="http://schemas.openxmlformats.org/drawingml/2006/main" name="SAE">
  <a:themeElements>
    <a:clrScheme name="Personalizado 5">
      <a:dk1>
        <a:sysClr val="windowText" lastClr="000000"/>
      </a:dk1>
      <a:lt1>
        <a:sysClr val="window" lastClr="FFFFFF"/>
      </a:lt1>
      <a:dk2>
        <a:srgbClr val="CD4F4F"/>
      </a:dk2>
      <a:lt2>
        <a:srgbClr val="DC7528"/>
      </a:lt2>
      <a:accent1>
        <a:srgbClr val="2C88B3"/>
      </a:accent1>
      <a:accent2>
        <a:srgbClr val="1D7D54"/>
      </a:accent2>
      <a:accent3>
        <a:srgbClr val="6E1242"/>
      </a:accent3>
      <a:accent4>
        <a:srgbClr val="F0B72A"/>
      </a:accent4>
      <a:accent5>
        <a:srgbClr val="94962D"/>
      </a:accent5>
      <a:accent6>
        <a:srgbClr val="546670"/>
      </a:accent6>
      <a:hlink>
        <a:srgbClr val="FFFFFF"/>
      </a:hlink>
      <a:folHlink>
        <a:srgbClr val="FFFFF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5" dT="2022-02-24T15:01:28.72" personId="{90F80DC3-7462-44A0-A296-A8F6803C4CFF}" id="{62049C3D-DF6D-4C27-9C4A-130543E2BDBE}">
    <text>Esta estabamos evaluando si quitarla o moverla a otro de los pilares.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systems.inei.gob.pe/SIRTOD/app/consulta" TargetMode="External"/><Relationship Id="rId7" Type="http://schemas.openxmlformats.org/officeDocument/2006/relationships/hyperlink" Target="https://estadisticas.bcrp.gob.pe/estadisticas/series/anuales/resultado-economico" TargetMode="External"/><Relationship Id="rId2" Type="http://schemas.openxmlformats.org/officeDocument/2006/relationships/hyperlink" Target="https://www.heritage.org/index/visualize" TargetMode="External"/><Relationship Id="rId1" Type="http://schemas.openxmlformats.org/officeDocument/2006/relationships/hyperlink" Target="https://estadisticas.bcrp.gob.pe/estadisticas/series/anuales/resultados/PM04935AA/html" TargetMode="External"/><Relationship Id="rId6" Type="http://schemas.openxmlformats.org/officeDocument/2006/relationships/hyperlink" Target="https://estadisticas.bcrp.gob.pe/estadisticas/series/anuales/deuda-publica" TargetMode="External"/><Relationship Id="rId5" Type="http://schemas.openxmlformats.org/officeDocument/2006/relationships/hyperlink" Target="https://systems.inei.gob.pe/SIRTOD/app/consulta" TargetMode="External"/><Relationship Id="rId4" Type="http://schemas.openxmlformats.org/officeDocument/2006/relationships/hyperlink" Target="https://systems.inei.gob.pe/SIRTOD/app/consulta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inei.gob.pe/estadisticas/indice-tematico/sociales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systems.inei.gob.pe/SIRTOD/app/consulta" TargetMode="External"/><Relationship Id="rId3" Type="http://schemas.openxmlformats.org/officeDocument/2006/relationships/hyperlink" Target="https://estadisticas.bcrp.gob.pe/estadisticas/series/anuales/resultado-economico" TargetMode="External"/><Relationship Id="rId7" Type="http://schemas.openxmlformats.org/officeDocument/2006/relationships/hyperlink" Target="https://systems.inei.gob.pe/SIRTOD/app/consulta" TargetMode="External"/><Relationship Id="rId2" Type="http://schemas.openxmlformats.org/officeDocument/2006/relationships/hyperlink" Target="https://www.inei.gob.pe/estadisticas/indice-tematico/sociales/" TargetMode="External"/><Relationship Id="rId1" Type="http://schemas.openxmlformats.org/officeDocument/2006/relationships/hyperlink" Target="https://estadisticas.bcrp.gob.pe/estadisticas/series/anuales/resultados/PM04935AA/html" TargetMode="External"/><Relationship Id="rId6" Type="http://schemas.openxmlformats.org/officeDocument/2006/relationships/hyperlink" Target="https://www.weforum.org/reports?utf8=%E2%9C%93&amp;query=gender+gap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https://systems.inei.gob.pe/SIRTOD/app/consulta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heritage.org/index/visualize" TargetMode="External"/><Relationship Id="rId9" Type="http://schemas.openxmlformats.org/officeDocument/2006/relationships/vmlDrawing" Target="../drawings/vmlDrawing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f.gob.pe/es/?option=com_content&amp;language=es-ES&amp;Itemid=100874&amp;lang=es-ES&amp;view=article&amp;id=292" TargetMode="External"/><Relationship Id="rId2" Type="http://schemas.openxmlformats.org/officeDocument/2006/relationships/hyperlink" Target="https://www.inei.gob.pe/estadisticas/indice-tematico/sociales/" TargetMode="External"/><Relationship Id="rId1" Type="http://schemas.openxmlformats.org/officeDocument/2006/relationships/hyperlink" Target="https://estadisticas.bcrp.gob.pe/estadisticas/series/anuales/resultados/PM04935AA/html" TargetMode="External"/><Relationship Id="rId5" Type="http://schemas.openxmlformats.org/officeDocument/2006/relationships/hyperlink" Target="https://estadisticas.bcrp.gob.pe/estadisticas/series/anuales/cuentas-monetarias" TargetMode="External"/><Relationship Id="rId4" Type="http://schemas.openxmlformats.org/officeDocument/2006/relationships/hyperlink" Target="https://estadisticas.bcrp.gob.pe/estadisticas/series/anuales/resultado-economico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f.gob.pe/es/?option=com_content&amp;language=es-ES&amp;Itemid=100874&amp;lang=es-ES&amp;view=article&amp;id=292" TargetMode="External"/><Relationship Id="rId3" Type="http://schemas.openxmlformats.org/officeDocument/2006/relationships/hyperlink" Target="https://www.mef.gob.pe/contenidos/tributos/doc/incumplimiento_IGV.pdf" TargetMode="External"/><Relationship Id="rId7" Type="http://schemas.openxmlformats.org/officeDocument/2006/relationships/hyperlink" Target="https://www.mef.gob.pe/index.php?option=com_content&amp;view=article&amp;id=6809&amp;Itemid=100874&amp;lang=es" TargetMode="External"/><Relationship Id="rId2" Type="http://schemas.openxmlformats.org/officeDocument/2006/relationships/hyperlink" Target="https://www.mef.gob.pe/contenidos/pol_econ/documentos/incumplimiento_IGV_SUNAT.pdf" TargetMode="External"/><Relationship Id="rId1" Type="http://schemas.openxmlformats.org/officeDocument/2006/relationships/hyperlink" Target="https://www.mef.gob.pe/contenidos/pol_econ/documentos/c_Incumplimiento_IGV_SUNAT.pdf" TargetMode="External"/><Relationship Id="rId6" Type="http://schemas.openxmlformats.org/officeDocument/2006/relationships/hyperlink" Target="https://www.mef.gob.pe/contenidos/pol_econ/documentos/incumplimiento_renta_SUNAT.pdf" TargetMode="External"/><Relationship Id="rId5" Type="http://schemas.openxmlformats.org/officeDocument/2006/relationships/hyperlink" Target="https://www.mef.gob.pe/contenidos/tributos/doc/incumplimiento_impuesto_renta.pdf" TargetMode="External"/><Relationship Id="rId4" Type="http://schemas.openxmlformats.org/officeDocument/2006/relationships/hyperlink" Target="https://www.mef.gob.pe/contenidos/tributos/doc/Incumplimiento_IR3era_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ystems.inei.gob.pe/SIRTOD/app/consulta" TargetMode="External"/><Relationship Id="rId2" Type="http://schemas.openxmlformats.org/officeDocument/2006/relationships/hyperlink" Target="https://www.heritage.org/index/visualize" TargetMode="External"/><Relationship Id="rId1" Type="http://schemas.openxmlformats.org/officeDocument/2006/relationships/hyperlink" Target="https://estadisticas.bcrp.gob.pe/estadisticas/series/anuales/resultados/PM04935AA/html" TargetMode="External"/><Relationship Id="rId6" Type="http://schemas.openxmlformats.org/officeDocument/2006/relationships/hyperlink" Target="https://estadisticas.bcrp.gob.pe/estadisticas/series/anuales/resultado-economico" TargetMode="External"/><Relationship Id="rId5" Type="http://schemas.openxmlformats.org/officeDocument/2006/relationships/hyperlink" Target="https://estadisticas.bcrp.gob.pe/estadisticas/series/anuales/deuda-publica" TargetMode="External"/><Relationship Id="rId4" Type="http://schemas.openxmlformats.org/officeDocument/2006/relationships/hyperlink" Target="https://systems.inei.gob.pe/SIRTOD/app/consulta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ystems.inei.gob.pe/SIRTOD/app/consulta" TargetMode="External"/><Relationship Id="rId7" Type="http://schemas.openxmlformats.org/officeDocument/2006/relationships/hyperlink" Target="https://estadisticas.bcrp.gob.pe/estadisticas/series/anuales/resultado-economico" TargetMode="External"/><Relationship Id="rId2" Type="http://schemas.openxmlformats.org/officeDocument/2006/relationships/hyperlink" Target="https://www.heritage.org/index/visualize" TargetMode="External"/><Relationship Id="rId1" Type="http://schemas.openxmlformats.org/officeDocument/2006/relationships/hyperlink" Target="https://estadisticas.bcrp.gob.pe/estadisticas/series/anuales/resultados/PM04935AA/html" TargetMode="External"/><Relationship Id="rId6" Type="http://schemas.openxmlformats.org/officeDocument/2006/relationships/hyperlink" Target="https://estadisticas.bcrp.gob.pe/estadisticas/series/anuales/resultado-economico" TargetMode="External"/><Relationship Id="rId5" Type="http://schemas.openxmlformats.org/officeDocument/2006/relationships/hyperlink" Target="https://estadisticas.bcrp.gob.pe/estadisticas/series/anuales/deuda-publica" TargetMode="External"/><Relationship Id="rId4" Type="http://schemas.openxmlformats.org/officeDocument/2006/relationships/hyperlink" Target="https://systems.inei.gob.pe/SIRTOD/app/consul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zoomScale="70" zoomScaleNormal="70" workbookViewId="0">
      <selection activeCell="D32" sqref="D32"/>
    </sheetView>
  </sheetViews>
  <sheetFormatPr baseColWidth="10" defaultColWidth="8.7265625" defaultRowHeight="14" x14ac:dyDescent="0.3"/>
  <cols>
    <col min="1" max="1" width="3.1796875" style="92" customWidth="1"/>
    <col min="2" max="2" width="10.90625" style="92" customWidth="1"/>
    <col min="3" max="3" width="59.26953125" style="92" customWidth="1"/>
    <col min="4" max="4" width="53.1796875" style="92" customWidth="1"/>
    <col min="5" max="5" width="79.90625" style="92" customWidth="1"/>
    <col min="6" max="6" width="33.54296875" style="92" bestFit="1" customWidth="1"/>
    <col min="7" max="20" width="8.7265625" style="92" customWidth="1"/>
    <col min="21" max="16384" width="8.7265625" style="94"/>
  </cols>
  <sheetData>
    <row r="2" spans="1:20" ht="18" x14ac:dyDescent="0.3">
      <c r="B2" s="93" t="s">
        <v>317</v>
      </c>
    </row>
    <row r="4" spans="1:20" x14ac:dyDescent="0.3">
      <c r="B4" s="95" t="s">
        <v>316</v>
      </c>
      <c r="C4" s="95" t="s">
        <v>16</v>
      </c>
      <c r="D4" s="95" t="s">
        <v>17</v>
      </c>
      <c r="E4" s="95" t="s">
        <v>18</v>
      </c>
      <c r="F4" s="95" t="s">
        <v>19</v>
      </c>
      <c r="G4" s="95">
        <v>2010</v>
      </c>
      <c r="H4" s="95">
        <v>2011</v>
      </c>
      <c r="I4" s="95">
        <v>2012</v>
      </c>
      <c r="J4" s="95">
        <v>2013</v>
      </c>
      <c r="K4" s="95">
        <v>2014</v>
      </c>
      <c r="L4" s="95">
        <v>2015</v>
      </c>
      <c r="M4" s="95">
        <v>2016</v>
      </c>
      <c r="N4" s="95">
        <v>2017</v>
      </c>
      <c r="O4" s="95">
        <v>2018</v>
      </c>
      <c r="P4" s="95">
        <v>2019</v>
      </c>
      <c r="Q4" s="95">
        <v>2020</v>
      </c>
      <c r="R4" s="95">
        <v>2021</v>
      </c>
      <c r="S4" s="95">
        <v>2022</v>
      </c>
      <c r="T4" s="95">
        <v>2023</v>
      </c>
    </row>
    <row r="5" spans="1:20" ht="14.5" customHeight="1" x14ac:dyDescent="0.3">
      <c r="B5" s="96">
        <v>1</v>
      </c>
      <c r="C5" s="92" t="s">
        <v>2</v>
      </c>
      <c r="D5" s="97" t="s">
        <v>21</v>
      </c>
      <c r="E5" s="92" t="s">
        <v>22</v>
      </c>
      <c r="F5" s="97" t="s">
        <v>23</v>
      </c>
      <c r="G5" s="98" t="s">
        <v>24</v>
      </c>
      <c r="H5" s="98" t="s">
        <v>24</v>
      </c>
      <c r="I5" s="98" t="s">
        <v>24</v>
      </c>
      <c r="J5" s="98" t="s">
        <v>24</v>
      </c>
      <c r="K5" s="98">
        <v>63</v>
      </c>
      <c r="L5" s="98">
        <v>65</v>
      </c>
      <c r="M5" s="98">
        <v>59</v>
      </c>
      <c r="N5" s="98">
        <v>61</v>
      </c>
      <c r="O5" s="98">
        <v>59</v>
      </c>
      <c r="P5" s="98">
        <v>59</v>
      </c>
      <c r="Q5" s="98">
        <v>57</v>
      </c>
      <c r="R5" s="98">
        <v>71</v>
      </c>
      <c r="S5" s="125">
        <v>75</v>
      </c>
      <c r="T5" s="125" t="s">
        <v>24</v>
      </c>
    </row>
    <row r="6" spans="1:20" ht="14.5" customHeight="1" x14ac:dyDescent="0.3">
      <c r="B6" s="96">
        <v>1</v>
      </c>
      <c r="C6" s="92" t="s">
        <v>2</v>
      </c>
      <c r="D6" s="92" t="s">
        <v>328</v>
      </c>
      <c r="E6" s="92" t="s">
        <v>25</v>
      </c>
      <c r="F6" s="97" t="s">
        <v>311</v>
      </c>
      <c r="G6" s="98">
        <v>67.400000000000006</v>
      </c>
      <c r="H6" s="98">
        <v>63.5</v>
      </c>
      <c r="I6" s="98" t="s">
        <v>24</v>
      </c>
      <c r="J6" s="98">
        <v>62.3</v>
      </c>
      <c r="K6" s="98" t="s">
        <v>24</v>
      </c>
      <c r="L6" s="98">
        <v>62.1</v>
      </c>
      <c r="M6" s="98">
        <v>58.3</v>
      </c>
      <c r="N6" s="98">
        <v>50.8</v>
      </c>
      <c r="O6" s="98">
        <v>48.8</v>
      </c>
      <c r="P6" s="98" t="s">
        <v>24</v>
      </c>
      <c r="Q6" s="98">
        <v>53</v>
      </c>
      <c r="R6" s="98" t="s">
        <v>24</v>
      </c>
      <c r="S6" s="125">
        <v>56</v>
      </c>
      <c r="T6" s="125">
        <v>49</v>
      </c>
    </row>
    <row r="7" spans="1:20" ht="14.5" customHeight="1" x14ac:dyDescent="0.3">
      <c r="B7" s="96">
        <v>2</v>
      </c>
      <c r="C7" s="92" t="s">
        <v>3</v>
      </c>
      <c r="D7" s="99" t="s">
        <v>26</v>
      </c>
      <c r="E7" s="99" t="s">
        <v>27</v>
      </c>
      <c r="F7" s="97" t="s">
        <v>312</v>
      </c>
      <c r="G7" s="100">
        <v>31.71847442</v>
      </c>
      <c r="H7" s="100">
        <v>37.321438540000003</v>
      </c>
      <c r="I7" s="100">
        <v>38.972440159999998</v>
      </c>
      <c r="J7" s="100">
        <v>37.84157458</v>
      </c>
      <c r="K7" s="100">
        <v>33.013632739999998</v>
      </c>
      <c r="L7" s="100">
        <v>29.380239100000001</v>
      </c>
      <c r="M7" s="101">
        <v>27.89486956</v>
      </c>
      <c r="N7" s="101">
        <v>23.378441689999999</v>
      </c>
      <c r="O7" s="101">
        <v>18.623662790000001</v>
      </c>
      <c r="P7" s="101">
        <v>24.142848019999999</v>
      </c>
      <c r="Q7" s="101">
        <v>22.716856140000001</v>
      </c>
      <c r="R7" s="101">
        <v>21.373200000000001</v>
      </c>
      <c r="S7" s="125">
        <v>16.3</v>
      </c>
      <c r="T7" s="125" t="s">
        <v>24</v>
      </c>
    </row>
    <row r="8" spans="1:20" ht="14.5" customHeight="1" x14ac:dyDescent="0.3">
      <c r="B8" s="96">
        <v>2</v>
      </c>
      <c r="C8" s="92" t="s">
        <v>3</v>
      </c>
      <c r="D8" s="92" t="s">
        <v>28</v>
      </c>
      <c r="E8" s="92" t="s">
        <v>22</v>
      </c>
      <c r="F8" s="97" t="s">
        <v>29</v>
      </c>
      <c r="G8" s="98">
        <v>78</v>
      </c>
      <c r="H8" s="98">
        <v>80</v>
      </c>
      <c r="I8" s="98">
        <v>83</v>
      </c>
      <c r="J8" s="98">
        <v>83</v>
      </c>
      <c r="K8" s="98">
        <v>85</v>
      </c>
      <c r="L8" s="98">
        <v>88</v>
      </c>
      <c r="M8" s="98">
        <v>101</v>
      </c>
      <c r="N8" s="98">
        <v>96</v>
      </c>
      <c r="O8" s="98">
        <v>105</v>
      </c>
      <c r="P8" s="98">
        <v>101</v>
      </c>
      <c r="Q8" s="98">
        <v>94</v>
      </c>
      <c r="R8" s="98">
        <v>105</v>
      </c>
      <c r="S8" s="125">
        <v>101</v>
      </c>
      <c r="T8" s="125" t="s">
        <v>24</v>
      </c>
    </row>
    <row r="9" spans="1:20" ht="14.5" customHeight="1" x14ac:dyDescent="0.3">
      <c r="B9" s="102">
        <v>2</v>
      </c>
      <c r="C9" s="103" t="s">
        <v>3</v>
      </c>
      <c r="D9" s="103" t="s">
        <v>329</v>
      </c>
      <c r="E9" s="104" t="s">
        <v>331</v>
      </c>
      <c r="F9" s="103" t="s">
        <v>309</v>
      </c>
      <c r="G9" s="98" t="s">
        <v>24</v>
      </c>
      <c r="H9" s="98" t="s">
        <v>24</v>
      </c>
      <c r="I9" s="98">
        <v>42.3</v>
      </c>
      <c r="J9" s="98" t="s">
        <v>24</v>
      </c>
      <c r="K9" s="98">
        <v>37.299999999999997</v>
      </c>
      <c r="L9" s="98" t="s">
        <v>24</v>
      </c>
      <c r="M9" s="98">
        <v>39.6</v>
      </c>
      <c r="N9" s="98" t="s">
        <v>24</v>
      </c>
      <c r="O9" s="98">
        <v>34.6</v>
      </c>
      <c r="P9" s="98" t="s">
        <v>24</v>
      </c>
      <c r="Q9" s="98" t="s">
        <v>24</v>
      </c>
      <c r="R9" s="98" t="s">
        <v>24</v>
      </c>
      <c r="S9" s="126">
        <v>29.3</v>
      </c>
      <c r="T9" s="126">
        <v>24.4</v>
      </c>
    </row>
    <row r="10" spans="1:20" ht="14.5" customHeight="1" x14ac:dyDescent="0.3">
      <c r="B10" s="102">
        <v>2</v>
      </c>
      <c r="C10" s="103" t="s">
        <v>3</v>
      </c>
      <c r="D10" s="103" t="s">
        <v>332</v>
      </c>
      <c r="E10" s="104" t="s">
        <v>333</v>
      </c>
      <c r="F10" s="103" t="s">
        <v>33</v>
      </c>
      <c r="G10" s="98" t="s">
        <v>24</v>
      </c>
      <c r="H10" s="98" t="s">
        <v>24</v>
      </c>
      <c r="I10" s="98" t="s">
        <v>24</v>
      </c>
      <c r="J10" s="98" t="s">
        <v>24</v>
      </c>
      <c r="K10" s="98" t="s">
        <v>24</v>
      </c>
      <c r="L10" s="98" t="s">
        <v>24</v>
      </c>
      <c r="M10" s="98" t="s">
        <v>24</v>
      </c>
      <c r="N10" s="98" t="s">
        <v>24</v>
      </c>
      <c r="O10" s="98" t="s">
        <v>24</v>
      </c>
      <c r="P10" s="98" t="s">
        <v>24</v>
      </c>
      <c r="Q10" s="98" t="s">
        <v>24</v>
      </c>
      <c r="R10" s="98" t="s">
        <v>24</v>
      </c>
      <c r="S10" s="126">
        <v>15</v>
      </c>
      <c r="T10" s="126">
        <v>22</v>
      </c>
    </row>
    <row r="11" spans="1:20" ht="14.5" customHeight="1" x14ac:dyDescent="0.3">
      <c r="B11" s="102">
        <v>2</v>
      </c>
      <c r="C11" s="103" t="s">
        <v>3</v>
      </c>
      <c r="D11" s="103" t="s">
        <v>334</v>
      </c>
      <c r="E11" s="104" t="s">
        <v>335</v>
      </c>
      <c r="F11" s="103" t="s">
        <v>33</v>
      </c>
      <c r="G11" s="98" t="s">
        <v>24</v>
      </c>
      <c r="H11" s="98" t="s">
        <v>24</v>
      </c>
      <c r="I11" s="98" t="s">
        <v>24</v>
      </c>
      <c r="J11" s="98" t="s">
        <v>24</v>
      </c>
      <c r="K11" s="98" t="s">
        <v>24</v>
      </c>
      <c r="L11" s="98" t="s">
        <v>24</v>
      </c>
      <c r="M11" s="98" t="s">
        <v>24</v>
      </c>
      <c r="N11" s="98" t="s">
        <v>24</v>
      </c>
      <c r="O11" s="98" t="s">
        <v>24</v>
      </c>
      <c r="P11" s="98" t="s">
        <v>24</v>
      </c>
      <c r="Q11" s="98" t="s">
        <v>24</v>
      </c>
      <c r="R11" s="98" t="s">
        <v>24</v>
      </c>
      <c r="S11" s="126">
        <v>30</v>
      </c>
      <c r="T11" s="126">
        <v>36</v>
      </c>
    </row>
    <row r="12" spans="1:20" s="106" customFormat="1" ht="14.5" customHeight="1" x14ac:dyDescent="0.3">
      <c r="A12" s="92"/>
      <c r="B12" s="96">
        <v>3</v>
      </c>
      <c r="C12" s="92" t="s">
        <v>4</v>
      </c>
      <c r="D12" s="92" t="s">
        <v>30</v>
      </c>
      <c r="E12" s="92" t="s">
        <v>330</v>
      </c>
      <c r="F12" s="97" t="s">
        <v>313</v>
      </c>
      <c r="G12" s="105">
        <v>36.847839440000001</v>
      </c>
      <c r="H12" s="105">
        <v>36.597087019999996</v>
      </c>
      <c r="I12" s="105">
        <v>36.346334599999999</v>
      </c>
      <c r="J12" s="105">
        <v>38.438294800000001</v>
      </c>
      <c r="K12" s="105">
        <v>40.764096129999999</v>
      </c>
      <c r="L12" s="105">
        <v>41.187469659999998</v>
      </c>
      <c r="M12" s="105">
        <v>41.623497200000003</v>
      </c>
      <c r="N12" s="105">
        <v>44.035522280000002</v>
      </c>
      <c r="O12" s="105">
        <v>40.405651280000001</v>
      </c>
      <c r="P12" s="105">
        <v>39.802519619999998</v>
      </c>
      <c r="Q12" s="105">
        <v>27.93011022</v>
      </c>
      <c r="R12" s="105">
        <v>34.463261430000003</v>
      </c>
      <c r="S12" s="105">
        <v>37.577758959999997</v>
      </c>
      <c r="T12" s="125" t="s">
        <v>24</v>
      </c>
    </row>
    <row r="13" spans="1:20" ht="14.5" customHeight="1" x14ac:dyDescent="0.3">
      <c r="B13" s="96">
        <v>3</v>
      </c>
      <c r="C13" s="92" t="s">
        <v>4</v>
      </c>
      <c r="D13" s="92" t="s">
        <v>31</v>
      </c>
      <c r="E13" s="92" t="s">
        <v>32</v>
      </c>
      <c r="F13" s="97" t="s">
        <v>33</v>
      </c>
      <c r="G13" s="98" t="s">
        <v>24</v>
      </c>
      <c r="H13" s="98" t="s">
        <v>24</v>
      </c>
      <c r="I13" s="98" t="s">
        <v>24</v>
      </c>
      <c r="J13" s="98" t="s">
        <v>24</v>
      </c>
      <c r="K13" s="98" t="s">
        <v>24</v>
      </c>
      <c r="L13" s="98">
        <v>16</v>
      </c>
      <c r="M13" s="98">
        <v>28</v>
      </c>
      <c r="N13" s="98">
        <v>32</v>
      </c>
      <c r="O13" s="98">
        <v>19</v>
      </c>
      <c r="P13" s="98" t="s">
        <v>24</v>
      </c>
      <c r="Q13" s="98" t="s">
        <v>24</v>
      </c>
      <c r="R13" s="98">
        <v>30</v>
      </c>
      <c r="S13" s="125">
        <v>19</v>
      </c>
      <c r="T13" s="125">
        <v>15</v>
      </c>
    </row>
    <row r="14" spans="1:20" s="106" customFormat="1" ht="14.5" customHeight="1" x14ac:dyDescent="0.3">
      <c r="A14" s="92"/>
      <c r="B14" s="96">
        <v>4</v>
      </c>
      <c r="C14" s="92" t="s">
        <v>5</v>
      </c>
      <c r="D14" s="92" t="s">
        <v>34</v>
      </c>
      <c r="E14" s="92" t="s">
        <v>315</v>
      </c>
      <c r="F14" s="97" t="s">
        <v>310</v>
      </c>
      <c r="G14" s="107">
        <v>7</v>
      </c>
      <c r="H14" s="107">
        <v>6</v>
      </c>
      <c r="I14" s="107">
        <v>6.4</v>
      </c>
      <c r="J14" s="107">
        <v>7.2</v>
      </c>
      <c r="K14" s="107">
        <v>8.5</v>
      </c>
      <c r="L14" s="105">
        <v>8.1</v>
      </c>
      <c r="M14" s="105">
        <v>8.9</v>
      </c>
      <c r="N14" s="105">
        <v>9.1999999999999993</v>
      </c>
      <c r="O14" s="105">
        <v>9.1</v>
      </c>
      <c r="P14" s="105">
        <v>11.3</v>
      </c>
      <c r="Q14" s="105">
        <v>12.6</v>
      </c>
      <c r="R14" s="105">
        <v>12.6</v>
      </c>
      <c r="S14" s="108">
        <v>10.6</v>
      </c>
      <c r="T14" s="108" t="s">
        <v>24</v>
      </c>
    </row>
    <row r="15" spans="1:20" s="106" customFormat="1" ht="14.5" customHeight="1" x14ac:dyDescent="0.3">
      <c r="A15" s="92"/>
      <c r="B15" s="96">
        <v>4</v>
      </c>
      <c r="C15" s="92" t="s">
        <v>5</v>
      </c>
      <c r="D15" s="92" t="s">
        <v>35</v>
      </c>
      <c r="E15" s="92" t="s">
        <v>36</v>
      </c>
      <c r="F15" s="97" t="s">
        <v>314</v>
      </c>
      <c r="G15" s="98" t="s">
        <v>24</v>
      </c>
      <c r="H15" s="107">
        <v>23.0433068</v>
      </c>
      <c r="I15" s="107">
        <v>48.472446499999997</v>
      </c>
      <c r="J15" s="107">
        <v>49.971964100000001</v>
      </c>
      <c r="K15" s="107">
        <v>47.9656351</v>
      </c>
      <c r="L15" s="105">
        <v>42.323504800000002</v>
      </c>
      <c r="M15" s="105">
        <v>46.404278300000001</v>
      </c>
      <c r="N15" s="105">
        <v>34.572686300000001</v>
      </c>
      <c r="O15" s="105">
        <v>37.6737392</v>
      </c>
      <c r="P15" s="105">
        <v>37.947725800000001</v>
      </c>
      <c r="Q15" s="105">
        <v>42.463629400000002</v>
      </c>
      <c r="R15" s="105">
        <v>42.984317599999997</v>
      </c>
      <c r="S15" s="108">
        <v>66.725978600000005</v>
      </c>
      <c r="T15" s="108" t="s">
        <v>24</v>
      </c>
    </row>
    <row r="16" spans="1:20" x14ac:dyDescent="0.3">
      <c r="R16" s="105"/>
    </row>
  </sheetData>
  <conditionalFormatting sqref="R16 G5:S9 G13:S15 G12:R12">
    <cfRule type="cellIs" dxfId="18" priority="11" operator="equal">
      <formula>"n.d."</formula>
    </cfRule>
  </conditionalFormatting>
  <conditionalFormatting sqref="T5:T9 T12:T15">
    <cfRule type="cellIs" dxfId="17" priority="7" operator="equal">
      <formula>"n.d."</formula>
    </cfRule>
  </conditionalFormatting>
  <conditionalFormatting sqref="T10:T11">
    <cfRule type="cellIs" dxfId="16" priority="3" operator="equal">
      <formula>"n.d."</formula>
    </cfRule>
  </conditionalFormatting>
  <conditionalFormatting sqref="G10:S11">
    <cfRule type="cellIs" dxfId="15" priority="4" operator="equal">
      <formula>"n.d."</formula>
    </cfRule>
  </conditionalFormatting>
  <conditionalFormatting sqref="S12">
    <cfRule type="cellIs" dxfId="14" priority="1" operator="equal">
      <formula>"n.d."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C18" sqref="C18"/>
    </sheetView>
  </sheetViews>
  <sheetFormatPr baseColWidth="10" defaultColWidth="8.7265625" defaultRowHeight="14.5" x14ac:dyDescent="0.35"/>
  <sheetData>
    <row r="1" spans="1:6" x14ac:dyDescent="0.35">
      <c r="B1" t="s">
        <v>154</v>
      </c>
      <c r="C1" t="s">
        <v>155</v>
      </c>
    </row>
    <row r="2" spans="1:6" x14ac:dyDescent="0.35">
      <c r="A2">
        <v>2005</v>
      </c>
      <c r="B2">
        <v>683.61479999999995</v>
      </c>
      <c r="C2">
        <v>63.404204490824277</v>
      </c>
      <c r="D2">
        <f>B2/C2*100</f>
        <v>1078.1852804397715</v>
      </c>
    </row>
    <row r="3" spans="1:6" x14ac:dyDescent="0.35">
      <c r="A3">
        <v>2006</v>
      </c>
      <c r="B3">
        <v>715.74490000000003</v>
      </c>
      <c r="C3">
        <v>64.673164531659665</v>
      </c>
      <c r="D3">
        <f t="shared" ref="D3:D18" si="0">B3/C3*100</f>
        <v>1106.7108052979518</v>
      </c>
      <c r="E3" s="11">
        <f>D3/D2*100-100</f>
        <v>2.6456978569161294</v>
      </c>
    </row>
    <row r="4" spans="1:6" x14ac:dyDescent="0.35">
      <c r="A4">
        <v>2007</v>
      </c>
      <c r="B4">
        <v>789.89840000000004</v>
      </c>
      <c r="C4">
        <v>65.823494831564531</v>
      </c>
      <c r="D4">
        <f t="shared" si="0"/>
        <v>1200.0250093393975</v>
      </c>
      <c r="E4" s="11">
        <f t="shared" ref="E4:E18" si="1">D4/D3*100-100</f>
        <v>8.4316700979822201</v>
      </c>
    </row>
    <row r="5" spans="1:6" x14ac:dyDescent="0.35">
      <c r="A5">
        <v>2008</v>
      </c>
      <c r="B5">
        <v>848.98440000000005</v>
      </c>
      <c r="C5">
        <v>69.633280272174019</v>
      </c>
      <c r="D5">
        <f t="shared" si="0"/>
        <v>1219.2221832457039</v>
      </c>
      <c r="E5" s="11">
        <f t="shared" si="1"/>
        <v>1.5997311520094399</v>
      </c>
    </row>
    <row r="6" spans="1:6" x14ac:dyDescent="0.35">
      <c r="A6">
        <v>2009</v>
      </c>
      <c r="B6">
        <v>909.68679999999995</v>
      </c>
      <c r="C6">
        <v>71.67725709271474</v>
      </c>
      <c r="D6">
        <f t="shared" si="0"/>
        <v>1269.1428730640703</v>
      </c>
      <c r="E6" s="11">
        <f t="shared" si="1"/>
        <v>4.0944702700103335</v>
      </c>
    </row>
    <row r="7" spans="1:6" x14ac:dyDescent="0.35">
      <c r="A7">
        <v>2010</v>
      </c>
      <c r="B7">
        <v>928.28959999999995</v>
      </c>
      <c r="C7">
        <v>72.773580312545747</v>
      </c>
      <c r="D7">
        <f t="shared" si="0"/>
        <v>1275.5859970242086</v>
      </c>
      <c r="E7" s="11">
        <f t="shared" si="1"/>
        <v>0.50767522687047517</v>
      </c>
    </row>
    <row r="8" spans="1:6" x14ac:dyDescent="0.35">
      <c r="A8">
        <v>2011</v>
      </c>
      <c r="B8">
        <v>1001.65</v>
      </c>
      <c r="C8">
        <v>75.225806531536946</v>
      </c>
      <c r="D8">
        <f t="shared" si="0"/>
        <v>1331.5244411239084</v>
      </c>
      <c r="E8" s="11">
        <f t="shared" si="1"/>
        <v>4.3853134347819491</v>
      </c>
    </row>
    <row r="9" spans="1:6" x14ac:dyDescent="0.35">
      <c r="A9">
        <v>2012</v>
      </c>
      <c r="B9">
        <v>1088.002</v>
      </c>
      <c r="C9">
        <v>77.975621126965791</v>
      </c>
      <c r="D9">
        <f t="shared" si="0"/>
        <v>1395.3104627771199</v>
      </c>
      <c r="E9" s="11">
        <f t="shared" si="1"/>
        <v>4.7904506806778073</v>
      </c>
    </row>
    <row r="10" spans="1:6" x14ac:dyDescent="0.35">
      <c r="A10">
        <v>2013</v>
      </c>
      <c r="B10">
        <v>1128.135</v>
      </c>
      <c r="C10">
        <v>80.163294836992421</v>
      </c>
      <c r="D10">
        <f t="shared" si="0"/>
        <v>1407.2961974604455</v>
      </c>
      <c r="E10" s="11">
        <f t="shared" si="1"/>
        <v>0.85900127628011091</v>
      </c>
    </row>
    <row r="11" spans="1:6" x14ac:dyDescent="0.35">
      <c r="A11">
        <v>2014</v>
      </c>
      <c r="B11">
        <v>1177.5930000000001</v>
      </c>
      <c r="C11">
        <v>82.765557919309529</v>
      </c>
      <c r="D11">
        <f t="shared" si="0"/>
        <v>1422.8056085214439</v>
      </c>
      <c r="E11" s="11">
        <f t="shared" si="1"/>
        <v>1.1020715531659988</v>
      </c>
    </row>
    <row r="12" spans="1:6" x14ac:dyDescent="0.35">
      <c r="A12">
        <v>2015</v>
      </c>
      <c r="B12">
        <v>1238.8050000000001</v>
      </c>
      <c r="C12">
        <v>85.7019547431766</v>
      </c>
      <c r="D12">
        <f t="shared" si="0"/>
        <v>1445.4804487392757</v>
      </c>
      <c r="E12" s="11">
        <f t="shared" si="1"/>
        <v>1.5936709893486665</v>
      </c>
    </row>
    <row r="13" spans="1:6" x14ac:dyDescent="0.35">
      <c r="A13">
        <v>2016</v>
      </c>
      <c r="B13">
        <v>1310.027</v>
      </c>
      <c r="C13">
        <v>88.781297876748383</v>
      </c>
      <c r="D13">
        <f t="shared" si="0"/>
        <v>1475.5663989263362</v>
      </c>
      <c r="E13" s="11">
        <f t="shared" si="1"/>
        <v>2.0813806380640472</v>
      </c>
    </row>
    <row r="14" spans="1:6" x14ac:dyDescent="0.35">
      <c r="A14">
        <v>2017</v>
      </c>
      <c r="B14">
        <v>1309.712</v>
      </c>
      <c r="C14">
        <v>91.270576159869009</v>
      </c>
      <c r="D14">
        <f t="shared" si="0"/>
        <v>1434.9772457948727</v>
      </c>
      <c r="E14" s="11">
        <f t="shared" si="1"/>
        <v>-2.7507507056949407</v>
      </c>
    </row>
    <row r="15" spans="1:6" x14ac:dyDescent="0.35">
      <c r="A15">
        <v>2018</v>
      </c>
      <c r="B15">
        <v>1336.26</v>
      </c>
      <c r="C15">
        <v>92.47234546323314</v>
      </c>
      <c r="D15">
        <f t="shared" si="0"/>
        <v>1445.0374253038656</v>
      </c>
      <c r="E15" s="11">
        <f t="shared" si="1"/>
        <v>0.70106892206645455</v>
      </c>
    </row>
    <row r="16" spans="1:6" x14ac:dyDescent="0.35">
      <c r="A16">
        <v>2019</v>
      </c>
      <c r="B16">
        <v>1363.4259999999999</v>
      </c>
      <c r="C16">
        <v>94.447412188128155</v>
      </c>
      <c r="D16">
        <f t="shared" si="0"/>
        <v>1443.5821674861938</v>
      </c>
      <c r="E16" s="11">
        <f t="shared" si="1"/>
        <v>-0.10070727527113377</v>
      </c>
      <c r="F16" s="11">
        <f>AVERAGE(E3:E16)</f>
        <v>2.1386245798005397</v>
      </c>
    </row>
    <row r="17" spans="1:5" x14ac:dyDescent="0.35">
      <c r="A17">
        <v>2020</v>
      </c>
      <c r="B17">
        <v>1220.4069999999999</v>
      </c>
      <c r="C17">
        <v>96.173252256258451</v>
      </c>
      <c r="D17">
        <f t="shared" si="0"/>
        <v>1268.9671726481333</v>
      </c>
      <c r="E17" s="11">
        <f t="shared" si="1"/>
        <v>-12.095951222653952</v>
      </c>
    </row>
    <row r="18" spans="1:5" x14ac:dyDescent="0.35">
      <c r="A18">
        <v>2021</v>
      </c>
      <c r="B18">
        <v>1233.442</v>
      </c>
      <c r="C18">
        <v>100</v>
      </c>
      <c r="D18">
        <f t="shared" si="0"/>
        <v>1233.442</v>
      </c>
      <c r="E18" s="11">
        <f t="shared" si="1"/>
        <v>-2.7995344098616783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9"/>
  <sheetViews>
    <sheetView showGridLines="0" zoomScale="68" zoomScaleNormal="115" workbookViewId="0">
      <pane xSplit="4" topLeftCell="E1" activePane="topRight" state="frozen"/>
      <selection activeCell="C18" sqref="C18"/>
      <selection pane="topRight" activeCell="C18" sqref="C18"/>
    </sheetView>
  </sheetViews>
  <sheetFormatPr baseColWidth="10" defaultColWidth="11.453125" defaultRowHeight="14.5" x14ac:dyDescent="0.35"/>
  <cols>
    <col min="2" max="2" width="20.1796875" customWidth="1"/>
    <col min="3" max="3" width="30.453125" customWidth="1"/>
    <col min="4" max="4" width="19.7265625" customWidth="1"/>
    <col min="20" max="20" width="14.26953125" style="12" customWidth="1"/>
    <col min="21" max="21" width="12.1796875" style="22" customWidth="1"/>
    <col min="22" max="22" width="11.453125" style="22"/>
  </cols>
  <sheetData>
    <row r="2" spans="2:22" ht="18" x14ac:dyDescent="0.35">
      <c r="B2" s="54" t="s">
        <v>0</v>
      </c>
      <c r="C2" s="2"/>
      <c r="D2" s="2"/>
    </row>
    <row r="4" spans="2:22" ht="23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92</v>
      </c>
      <c r="R4" s="5" t="s">
        <v>116</v>
      </c>
      <c r="S4" s="68" t="s">
        <v>127</v>
      </c>
      <c r="T4" s="5" t="s">
        <v>93</v>
      </c>
      <c r="U4" s="23" t="s">
        <v>19</v>
      </c>
      <c r="V4" s="23" t="s">
        <v>94</v>
      </c>
    </row>
    <row r="5" spans="2:22" ht="26.5" customHeight="1" x14ac:dyDescent="0.35">
      <c r="B5" s="51"/>
      <c r="C5" s="39" t="s">
        <v>128</v>
      </c>
      <c r="D5" s="36" t="s">
        <v>129</v>
      </c>
      <c r="E5" s="56">
        <f>E23</f>
        <v>54.233094453874166</v>
      </c>
      <c r="F5" s="56">
        <f t="shared" ref="F5:Q5" si="0">F23</f>
        <v>54.234804634845474</v>
      </c>
      <c r="G5" s="56">
        <f t="shared" si="0"/>
        <v>79.110688000182122</v>
      </c>
      <c r="H5" s="56">
        <f t="shared" si="0"/>
        <v>72.406856681633144</v>
      </c>
      <c r="I5" s="56">
        <f t="shared" si="0"/>
        <v>67.739271722496781</v>
      </c>
      <c r="J5" s="56">
        <f t="shared" si="0"/>
        <v>55.554016988155652</v>
      </c>
      <c r="K5" s="56">
        <f t="shared" si="0"/>
        <v>59.220999311391125</v>
      </c>
      <c r="L5" s="56">
        <f t="shared" si="0"/>
        <v>73.836827777592319</v>
      </c>
      <c r="M5" s="56">
        <f t="shared" si="0"/>
        <v>69.314088978647817</v>
      </c>
      <c r="N5" s="56">
        <f t="shared" si="0"/>
        <v>64.92420367952252</v>
      </c>
      <c r="O5" s="56">
        <f t="shared" si="0"/>
        <v>26.800361419524585</v>
      </c>
      <c r="P5" s="56">
        <f t="shared" si="0"/>
        <v>25.192027274908671</v>
      </c>
      <c r="Q5" s="56">
        <f t="shared" si="0"/>
        <v>-1.6083341446159132</v>
      </c>
      <c r="R5" s="56"/>
      <c r="S5" s="56"/>
      <c r="T5" s="32"/>
      <c r="U5" s="38"/>
      <c r="V5" s="38"/>
    </row>
    <row r="6" spans="2:22" ht="26.5" customHeight="1" x14ac:dyDescent="0.35">
      <c r="B6" s="132" t="s">
        <v>95</v>
      </c>
      <c r="C6" s="40" t="s">
        <v>42</v>
      </c>
      <c r="D6" s="42" t="s">
        <v>44</v>
      </c>
      <c r="E6" s="3">
        <v>6.878443538241652</v>
      </c>
      <c r="F6" s="3">
        <v>6.6385051847325016</v>
      </c>
      <c r="G6" s="3">
        <v>6.1668479655895947</v>
      </c>
      <c r="H6" s="3">
        <v>5.5220118653198647</v>
      </c>
      <c r="I6" s="3">
        <v>5.7891859275132296</v>
      </c>
      <c r="J6" s="3">
        <v>4.7778433975107726</v>
      </c>
      <c r="K6" s="3">
        <v>4.305751822864412</v>
      </c>
      <c r="L6" s="3">
        <v>3.5841720878375005</v>
      </c>
      <c r="M6" s="3">
        <v>3.2144643921257154</v>
      </c>
      <c r="N6" s="3">
        <v>3.1844079970759109</v>
      </c>
      <c r="O6" s="3">
        <v>0.16097470402758329</v>
      </c>
      <c r="P6" s="33">
        <v>1.9278133592164126</v>
      </c>
      <c r="Q6" s="3">
        <f>P6-O6</f>
        <v>1.7668386551888293</v>
      </c>
      <c r="R6" s="3"/>
      <c r="S6" s="3"/>
      <c r="T6" s="29"/>
      <c r="U6" s="25" t="s">
        <v>45</v>
      </c>
      <c r="V6" s="24" t="s">
        <v>96</v>
      </c>
    </row>
    <row r="7" spans="2:22" ht="26.5" customHeight="1" x14ac:dyDescent="0.35">
      <c r="B7" s="132"/>
      <c r="C7" s="40" t="s">
        <v>156</v>
      </c>
      <c r="D7" s="42" t="s">
        <v>44</v>
      </c>
      <c r="E7" s="3" t="s">
        <v>24</v>
      </c>
      <c r="F7" s="3" t="s">
        <v>24</v>
      </c>
      <c r="G7" s="3">
        <v>6.4081633175059993</v>
      </c>
      <c r="H7" s="3">
        <v>5.7363704126608628</v>
      </c>
      <c r="I7" s="3">
        <v>6.308384496373276</v>
      </c>
      <c r="J7" s="3">
        <v>5.0559763119446099</v>
      </c>
      <c r="K7" s="3">
        <v>3.9886467387010516</v>
      </c>
      <c r="L7" s="3">
        <v>3.2332210048201082</v>
      </c>
      <c r="M7" s="3">
        <v>2.9993988817276218</v>
      </c>
      <c r="N7" s="3">
        <v>2.9243043164422389</v>
      </c>
      <c r="O7" s="3">
        <v>5.0001653115638867E-2</v>
      </c>
      <c r="P7" s="33">
        <v>2.2576689087861146</v>
      </c>
      <c r="Q7" s="3">
        <f t="shared" ref="Q7:Q15" si="1">P7-O7</f>
        <v>2.2076672556704757</v>
      </c>
      <c r="R7" s="3"/>
      <c r="S7" s="3"/>
      <c r="T7" s="29"/>
      <c r="U7" s="25" t="s">
        <v>49</v>
      </c>
      <c r="V7" s="24" t="s">
        <v>97</v>
      </c>
    </row>
    <row r="8" spans="2:22" ht="26.5" customHeight="1" x14ac:dyDescent="0.35">
      <c r="B8" s="132"/>
      <c r="C8" s="40" t="s">
        <v>157</v>
      </c>
      <c r="D8" s="42" t="s">
        <v>44</v>
      </c>
      <c r="E8" s="3" t="s">
        <v>24</v>
      </c>
      <c r="F8" s="3" t="s">
        <v>24</v>
      </c>
      <c r="G8" s="3">
        <v>5.0832954706892419</v>
      </c>
      <c r="H8" s="3">
        <v>4.5956735546362815</v>
      </c>
      <c r="I8" s="3">
        <v>4.104430107278878</v>
      </c>
      <c r="J8" s="3">
        <v>4.270700859389609</v>
      </c>
      <c r="K8" s="3">
        <v>5.2518406260064543</v>
      </c>
      <c r="L8" s="3">
        <v>4.8670676331852736</v>
      </c>
      <c r="M8" s="3">
        <v>4.2208510936129873</v>
      </c>
      <c r="N8" s="3">
        <v>4.3547048760340878</v>
      </c>
      <c r="O8" s="3">
        <v>0.8179442774440604</v>
      </c>
      <c r="P8" s="33">
        <v>0.99239876380181613</v>
      </c>
      <c r="Q8" s="3">
        <f>P8-O8</f>
        <v>0.17445448635775573</v>
      </c>
      <c r="R8" s="3"/>
      <c r="S8" s="3"/>
      <c r="T8" s="29"/>
      <c r="U8" s="25" t="s">
        <v>49</v>
      </c>
      <c r="V8" s="24" t="s">
        <v>97</v>
      </c>
    </row>
    <row r="9" spans="2:22" ht="26.5" customHeight="1" x14ac:dyDescent="0.35">
      <c r="B9" s="132"/>
      <c r="C9" s="40" t="s">
        <v>158</v>
      </c>
      <c r="D9" s="42" t="s">
        <v>44</v>
      </c>
      <c r="E9" s="3" t="s">
        <v>24</v>
      </c>
      <c r="F9" s="3" t="s">
        <v>24</v>
      </c>
      <c r="G9" s="3">
        <v>4.8153529733132361</v>
      </c>
      <c r="H9" s="3">
        <v>4.3225364429378521</v>
      </c>
      <c r="I9" s="3">
        <v>4.1935222705629771</v>
      </c>
      <c r="J9" s="3">
        <v>3.4178988126235321</v>
      </c>
      <c r="K9" s="3">
        <v>2.5208181249072537</v>
      </c>
      <c r="L9" s="3">
        <v>2.1000773371321335</v>
      </c>
      <c r="M9" s="3">
        <v>2.2453948782406474</v>
      </c>
      <c r="N9" s="3">
        <v>2.2597727108853327</v>
      </c>
      <c r="O9" s="3">
        <v>-0.67174171468572519</v>
      </c>
      <c r="P9" s="33">
        <v>1.5463484990887677</v>
      </c>
      <c r="Q9" s="3">
        <f>P9-O9</f>
        <v>2.2180902137744929</v>
      </c>
      <c r="R9" s="3"/>
      <c r="S9" s="3"/>
      <c r="T9" s="29"/>
      <c r="U9" s="25" t="s">
        <v>49</v>
      </c>
      <c r="V9" s="24" t="s">
        <v>97</v>
      </c>
    </row>
    <row r="10" spans="2:22" ht="26.5" customHeight="1" x14ac:dyDescent="0.35">
      <c r="B10" s="132"/>
      <c r="C10" s="40" t="s">
        <v>98</v>
      </c>
      <c r="D10" s="42" t="s">
        <v>75</v>
      </c>
      <c r="E10" s="3">
        <v>71.333333333333329</v>
      </c>
      <c r="F10" s="3">
        <v>55.416666666666664</v>
      </c>
      <c r="G10" s="3">
        <v>60.916666666666664</v>
      </c>
      <c r="H10" s="3">
        <v>56.833333333333336</v>
      </c>
      <c r="I10" s="3">
        <v>53.708157187326371</v>
      </c>
      <c r="J10" s="3">
        <v>46.89689073547305</v>
      </c>
      <c r="K10" s="3">
        <v>54.940128517768045</v>
      </c>
      <c r="L10" s="3">
        <v>55.624168584303952</v>
      </c>
      <c r="M10" s="3">
        <v>56.822969754536949</v>
      </c>
      <c r="N10" s="3">
        <v>51.954527537028007</v>
      </c>
      <c r="O10" s="3">
        <v>37.260452412222683</v>
      </c>
      <c r="P10" s="31">
        <v>41.329048814879421</v>
      </c>
      <c r="Q10" s="3">
        <f>P10-O10</f>
        <v>4.0685964026567376</v>
      </c>
      <c r="R10" s="3"/>
      <c r="S10" s="3"/>
      <c r="T10" s="29"/>
      <c r="U10" s="25" t="s">
        <v>45</v>
      </c>
      <c r="V10" s="26" t="s">
        <v>99</v>
      </c>
    </row>
    <row r="11" spans="2:22" ht="26.5" customHeight="1" x14ac:dyDescent="0.35">
      <c r="B11" s="132"/>
      <c r="C11" s="40" t="s">
        <v>100</v>
      </c>
      <c r="D11" s="42" t="s">
        <v>132</v>
      </c>
      <c r="E11" s="3">
        <v>656.10648208015516</v>
      </c>
      <c r="F11" s="3">
        <v>729.54271078046554</v>
      </c>
      <c r="G11" s="3">
        <v>821.92496263028067</v>
      </c>
      <c r="H11" s="3">
        <v>874.91561381317263</v>
      </c>
      <c r="I11" s="3">
        <v>944.15186858857442</v>
      </c>
      <c r="J11" s="3">
        <v>1028.4545386077748</v>
      </c>
      <c r="K11" s="3">
        <v>1126.6771032003542</v>
      </c>
      <c r="L11" s="3">
        <v>1157.9887254670966</v>
      </c>
      <c r="M11" s="3">
        <v>1197.0177040091769</v>
      </c>
      <c r="N11" s="3">
        <v>1247.43914080887</v>
      </c>
      <c r="O11" s="3">
        <v>1136.9902091159274</v>
      </c>
      <c r="P11" s="33">
        <v>1194.8584651548474</v>
      </c>
      <c r="Q11" s="3">
        <f>P11/O11*100-100</f>
        <v>5.0896002071922624</v>
      </c>
      <c r="R11" s="3"/>
      <c r="S11" s="3"/>
      <c r="T11" s="29"/>
      <c r="U11" s="25" t="s">
        <v>49</v>
      </c>
      <c r="V11" s="91" t="s">
        <v>101</v>
      </c>
    </row>
    <row r="12" spans="2:22" ht="26.5" customHeight="1" x14ac:dyDescent="0.35">
      <c r="B12" s="133"/>
      <c r="C12" s="40" t="s">
        <v>47</v>
      </c>
      <c r="D12" s="42" t="s">
        <v>48</v>
      </c>
      <c r="E12" s="3">
        <v>30.017811636601166</v>
      </c>
      <c r="F12" s="3">
        <v>32.519946811063889</v>
      </c>
      <c r="G12" s="3">
        <v>33.15791269029495</v>
      </c>
      <c r="H12" s="3">
        <v>33.493863322819408</v>
      </c>
      <c r="I12" s="3">
        <v>34.540161415884583</v>
      </c>
      <c r="J12" s="3">
        <v>34.145076093543523</v>
      </c>
      <c r="K12" s="3">
        <v>35.194755587454154</v>
      </c>
      <c r="L12" s="3">
        <v>34.291951627891166</v>
      </c>
      <c r="M12" s="3">
        <v>34.260921747319088</v>
      </c>
      <c r="N12" s="3">
        <v>33.59645377192389</v>
      </c>
      <c r="O12" s="3">
        <v>31.581858950866064</v>
      </c>
      <c r="P12" s="33">
        <v>28.595077555710098</v>
      </c>
      <c r="Q12" s="3">
        <f>P12-O12</f>
        <v>-2.9867813951559654</v>
      </c>
      <c r="R12" s="3"/>
      <c r="S12" s="3"/>
      <c r="T12" s="30"/>
      <c r="U12" s="25" t="s">
        <v>49</v>
      </c>
      <c r="V12" s="26" t="s">
        <v>102</v>
      </c>
    </row>
    <row r="13" spans="2:22" ht="26.5" customHeight="1" x14ac:dyDescent="0.35">
      <c r="B13" s="44" t="s">
        <v>103</v>
      </c>
      <c r="C13" s="40" t="s">
        <v>7</v>
      </c>
      <c r="D13" s="42" t="s">
        <v>104</v>
      </c>
      <c r="E13" s="3">
        <v>67.599999999999994</v>
      </c>
      <c r="F13" s="3">
        <v>68.599999999999994</v>
      </c>
      <c r="G13" s="3">
        <v>68.7</v>
      </c>
      <c r="H13" s="3">
        <v>68.2</v>
      </c>
      <c r="I13" s="3">
        <v>67.400000000000006</v>
      </c>
      <c r="J13" s="3">
        <v>67.7</v>
      </c>
      <c r="K13" s="3">
        <v>67.400000000000006</v>
      </c>
      <c r="L13" s="3">
        <v>68.900000000000006</v>
      </c>
      <c r="M13" s="3">
        <v>68.7</v>
      </c>
      <c r="N13" s="3">
        <v>67.8</v>
      </c>
      <c r="O13" s="3">
        <v>67.900000000000006</v>
      </c>
      <c r="P13" s="31">
        <v>67.7</v>
      </c>
      <c r="Q13" s="3">
        <f>P13-O13</f>
        <v>-0.20000000000000284</v>
      </c>
      <c r="R13" s="3"/>
      <c r="S13" s="3"/>
      <c r="T13" s="32"/>
      <c r="U13" s="25" t="s">
        <v>105</v>
      </c>
      <c r="V13" s="24" t="s">
        <v>106</v>
      </c>
    </row>
    <row r="14" spans="2:22" ht="26.5" customHeight="1" x14ac:dyDescent="0.35">
      <c r="B14" s="134" t="s">
        <v>107</v>
      </c>
      <c r="C14" s="40" t="s">
        <v>108</v>
      </c>
      <c r="D14" s="42" t="s">
        <v>55</v>
      </c>
      <c r="E14" s="3">
        <v>2.0764442319031202</v>
      </c>
      <c r="F14" s="3">
        <v>4.7384208424835199</v>
      </c>
      <c r="G14" s="3">
        <v>2.6493688807159002</v>
      </c>
      <c r="H14" s="3">
        <v>2.8596811557922499</v>
      </c>
      <c r="I14" s="3">
        <v>3.2240611887172999</v>
      </c>
      <c r="J14" s="3">
        <v>4.3979285416694003</v>
      </c>
      <c r="K14" s="3">
        <v>3.2348819503701201</v>
      </c>
      <c r="L14" s="3">
        <v>1.3648558837145399</v>
      </c>
      <c r="M14" s="3">
        <v>2.1925231538681902</v>
      </c>
      <c r="N14" s="3">
        <v>1.90009157916242</v>
      </c>
      <c r="O14" s="3">
        <v>1.9732322294607501</v>
      </c>
      <c r="P14" s="33">
        <v>6.4303871634072296</v>
      </c>
      <c r="Q14" s="3">
        <f t="shared" si="1"/>
        <v>4.4571549339464793</v>
      </c>
      <c r="R14" s="3"/>
      <c r="S14" s="3"/>
      <c r="T14" s="30"/>
      <c r="U14" s="25" t="s">
        <v>45</v>
      </c>
      <c r="V14" s="26" t="s">
        <v>109</v>
      </c>
    </row>
    <row r="15" spans="2:22" ht="26.5" customHeight="1" x14ac:dyDescent="0.35">
      <c r="B15" s="132"/>
      <c r="C15" s="49" t="s">
        <v>82</v>
      </c>
      <c r="D15" s="42" t="s">
        <v>81</v>
      </c>
      <c r="E15" s="3">
        <v>23.8027565211063</v>
      </c>
      <c r="F15" s="3">
        <v>21.611401597662798</v>
      </c>
      <c r="G15" s="3">
        <v>19.875581324790002</v>
      </c>
      <c r="H15" s="3">
        <v>19.1955168804922</v>
      </c>
      <c r="I15" s="3">
        <v>19.869186077031099</v>
      </c>
      <c r="J15" s="3">
        <v>23.256266030345099</v>
      </c>
      <c r="K15" s="3">
        <v>23.743826842399699</v>
      </c>
      <c r="L15" s="3">
        <v>24.736716589765201</v>
      </c>
      <c r="M15" s="3">
        <v>25.5919748496399</v>
      </c>
      <c r="N15" s="3">
        <v>26.608279872790099</v>
      </c>
      <c r="O15" s="3">
        <v>34.636906859547103</v>
      </c>
      <c r="P15" s="33">
        <v>35.947971341043001</v>
      </c>
      <c r="Q15" s="3">
        <f t="shared" si="1"/>
        <v>1.3110644814958974</v>
      </c>
      <c r="R15" s="3"/>
      <c r="S15" s="3"/>
      <c r="T15" s="32"/>
      <c r="U15" s="25" t="s">
        <v>45</v>
      </c>
      <c r="V15" s="26" t="s">
        <v>110</v>
      </c>
    </row>
    <row r="16" spans="2:22" ht="26.5" customHeight="1" x14ac:dyDescent="0.35">
      <c r="B16" s="133"/>
      <c r="C16" s="40" t="s">
        <v>148</v>
      </c>
      <c r="D16" s="42" t="s">
        <v>112</v>
      </c>
      <c r="E16" s="3">
        <v>171.61685823754789</v>
      </c>
      <c r="F16" s="3">
        <v>191.27307692307693</v>
      </c>
      <c r="G16" s="3">
        <v>157.01149425287358</v>
      </c>
      <c r="H16" s="3">
        <v>158.62835249042146</v>
      </c>
      <c r="I16" s="3">
        <v>162.04214559386972</v>
      </c>
      <c r="J16" s="3">
        <v>200.86973180076629</v>
      </c>
      <c r="K16" s="3">
        <v>199.28076923076924</v>
      </c>
      <c r="L16" s="3">
        <v>145.04615384615386</v>
      </c>
      <c r="M16" s="3">
        <v>147.58237547892719</v>
      </c>
      <c r="N16" s="3">
        <v>128.68199233716476</v>
      </c>
      <c r="O16" s="3">
        <v>172.66153846153847</v>
      </c>
      <c r="P16" s="31">
        <v>165.727969348659</v>
      </c>
      <c r="Q16" s="3">
        <f>P16-O16</f>
        <v>-6.9335691128794679</v>
      </c>
      <c r="R16" s="3"/>
      <c r="S16" s="3"/>
      <c r="T16" s="29"/>
      <c r="U16" s="25" t="s">
        <v>45</v>
      </c>
      <c r="V16" s="26" t="s">
        <v>113</v>
      </c>
    </row>
    <row r="17" spans="1:22" ht="26.5" customHeight="1" x14ac:dyDescent="0.35">
      <c r="B17" s="62"/>
      <c r="C17" s="6" t="s">
        <v>114</v>
      </c>
      <c r="D17" s="8" t="s">
        <v>57</v>
      </c>
      <c r="E17" s="3">
        <v>7.706288443262781</v>
      </c>
      <c r="F17" s="3">
        <v>7.1715381328523966</v>
      </c>
      <c r="G17" s="3">
        <v>6.4672332524315523</v>
      </c>
      <c r="H17" s="3">
        <v>6.6486219480026056</v>
      </c>
      <c r="I17" s="3">
        <v>6.3647936571990806</v>
      </c>
      <c r="J17" s="3">
        <v>6.8844520533615032</v>
      </c>
      <c r="K17" s="3">
        <v>7.793599975786333</v>
      </c>
      <c r="L17" s="3">
        <v>8.9464702618187815</v>
      </c>
      <c r="M17" s="3">
        <v>9.3286762242699321</v>
      </c>
      <c r="N17" s="3">
        <v>9.3733613785410625</v>
      </c>
      <c r="O17" s="3">
        <v>12.037679586915138</v>
      </c>
      <c r="P17" s="33">
        <v>9.221444799595119</v>
      </c>
      <c r="Q17" s="3">
        <f t="shared" ref="Q17" si="2">P17-O17</f>
        <v>-2.8162347873200186</v>
      </c>
      <c r="R17" s="3"/>
      <c r="S17" s="3"/>
      <c r="T17" s="29"/>
      <c r="U17" s="25" t="s">
        <v>45</v>
      </c>
      <c r="V17" s="24" t="s">
        <v>115</v>
      </c>
    </row>
    <row r="18" spans="1:22" x14ac:dyDescent="0.35">
      <c r="C18" s="27"/>
    </row>
    <row r="20" spans="1:22" ht="18" x14ac:dyDescent="0.35">
      <c r="B20" s="57" t="s">
        <v>137</v>
      </c>
      <c r="C20" s="58"/>
      <c r="D20" s="58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</row>
    <row r="22" spans="1:22" x14ac:dyDescent="0.35">
      <c r="B22" s="4" t="s">
        <v>15</v>
      </c>
      <c r="C22" s="4" t="s">
        <v>17</v>
      </c>
      <c r="D22" s="7" t="s">
        <v>18</v>
      </c>
      <c r="E22" s="5">
        <v>2010</v>
      </c>
      <c r="F22" s="5">
        <v>2011</v>
      </c>
      <c r="G22" s="5">
        <v>2012</v>
      </c>
      <c r="H22" s="5">
        <v>2013</v>
      </c>
      <c r="I22" s="5">
        <v>2014</v>
      </c>
      <c r="J22" s="5">
        <v>2015</v>
      </c>
      <c r="K22" s="5">
        <v>2016</v>
      </c>
      <c r="L22" s="5">
        <v>2017</v>
      </c>
      <c r="M22" s="5">
        <v>2018</v>
      </c>
      <c r="N22" s="5">
        <v>2019</v>
      </c>
      <c r="O22" s="5">
        <v>2020</v>
      </c>
      <c r="P22" s="5">
        <v>2021</v>
      </c>
      <c r="Q22" s="5" t="s">
        <v>92</v>
      </c>
      <c r="R22" s="65"/>
      <c r="S22" s="65"/>
      <c r="T22"/>
      <c r="U22"/>
      <c r="V22"/>
    </row>
    <row r="23" spans="1:22" ht="22" customHeight="1" x14ac:dyDescent="0.35">
      <c r="B23" s="51"/>
      <c r="C23" s="39" t="s">
        <v>128</v>
      </c>
      <c r="D23" s="36" t="s">
        <v>51</v>
      </c>
      <c r="E23" s="56">
        <f>AVERAGE(E24:E34)</f>
        <v>54.233094453874166</v>
      </c>
      <c r="F23" s="56">
        <f t="shared" ref="F23:P23" si="3">AVERAGE(F24:F34)</f>
        <v>54.234804634845474</v>
      </c>
      <c r="G23" s="56">
        <f t="shared" si="3"/>
        <v>79.110688000182122</v>
      </c>
      <c r="H23" s="56">
        <f t="shared" si="3"/>
        <v>72.406856681633144</v>
      </c>
      <c r="I23" s="56">
        <f t="shared" si="3"/>
        <v>67.739271722496781</v>
      </c>
      <c r="J23" s="56">
        <f t="shared" si="3"/>
        <v>55.554016988155652</v>
      </c>
      <c r="K23" s="56">
        <f t="shared" si="3"/>
        <v>59.220999311391125</v>
      </c>
      <c r="L23" s="56">
        <f t="shared" si="3"/>
        <v>73.836827777592319</v>
      </c>
      <c r="M23" s="56">
        <f t="shared" si="3"/>
        <v>69.314088978647817</v>
      </c>
      <c r="N23" s="56">
        <f t="shared" si="3"/>
        <v>64.92420367952252</v>
      </c>
      <c r="O23" s="56">
        <f t="shared" si="3"/>
        <v>26.800361419524585</v>
      </c>
      <c r="P23" s="56">
        <f t="shared" si="3"/>
        <v>25.192027274908671</v>
      </c>
      <c r="Q23" s="56">
        <f>P23-O23</f>
        <v>-1.6083341446159132</v>
      </c>
      <c r="R23" s="66"/>
      <c r="S23" s="66"/>
      <c r="T23"/>
      <c r="U23"/>
      <c r="V23"/>
    </row>
    <row r="24" spans="1:22" ht="23.5" customHeight="1" x14ac:dyDescent="0.35">
      <c r="B24" s="132" t="s">
        <v>95</v>
      </c>
      <c r="C24" s="40" t="s">
        <v>42</v>
      </c>
      <c r="D24" s="42" t="s">
        <v>44</v>
      </c>
      <c r="E24" s="3">
        <f>IFERROR((E6-MIN($E6:$P6))/(MAX($E6:$P6)-MIN($E6:$P6))*100,"")</f>
        <v>100</v>
      </c>
      <c r="F24" s="3">
        <f>IFERROR((F6-MIN($E6:$P6))/(MAX($E6:$P6)-MIN($E6:$P6))*100,"")</f>
        <v>96.42814340593479</v>
      </c>
      <c r="G24" s="3">
        <f t="shared" ref="G24:P24" si="4">IFERROR((G6-MIN($E6:$P6))/(MAX($E6:$P6)-MIN($E6:$P6))*100,"")</f>
        <v>89.406790113745089</v>
      </c>
      <c r="H24" s="3">
        <f t="shared" si="4"/>
        <v>79.807399090367539</v>
      </c>
      <c r="I24" s="3">
        <f t="shared" si="4"/>
        <v>83.784701684353053</v>
      </c>
      <c r="J24" s="3">
        <f>IFERROR((J6-MIN($E6:$P6))/(MAX($E6:$P6)-MIN($E6:$P6))*100,"")</f>
        <v>68.729290859796805</v>
      </c>
      <c r="K24" s="3">
        <f t="shared" si="4"/>
        <v>61.701471508527803</v>
      </c>
      <c r="L24" s="3">
        <f t="shared" si="4"/>
        <v>50.959631794263835</v>
      </c>
      <c r="M24" s="3">
        <f t="shared" si="4"/>
        <v>45.455956156369496</v>
      </c>
      <c r="N24" s="3">
        <f t="shared" si="4"/>
        <v>45.008519840822807</v>
      </c>
      <c r="O24" s="3">
        <f>IFERROR((O6-MIN($E6:$P6))/(MAX($E6:$P6)-MIN($E6:$P6))*100,"")</f>
        <v>0</v>
      </c>
      <c r="P24" s="3">
        <f t="shared" si="4"/>
        <v>26.302148901529605</v>
      </c>
      <c r="Q24" s="3">
        <f>P24-O24</f>
        <v>26.302148901529605</v>
      </c>
      <c r="R24" s="67"/>
      <c r="S24" s="67"/>
      <c r="T24" t="s">
        <v>138</v>
      </c>
      <c r="U24"/>
      <c r="V24"/>
    </row>
    <row r="25" spans="1:22" ht="23.5" customHeight="1" x14ac:dyDescent="0.35">
      <c r="A25" s="64" t="s">
        <v>139</v>
      </c>
      <c r="B25" s="132"/>
      <c r="C25" s="40" t="s">
        <v>156</v>
      </c>
      <c r="D25" s="42" t="s">
        <v>44</v>
      </c>
      <c r="E25" s="3" t="str">
        <f t="shared" ref="E25:P25" si="5">IFERROR((E7-MIN($E7:$P7))/(MAX($E7:$P7)-MIN($E7:$P7))*100,"")</f>
        <v/>
      </c>
      <c r="F25" s="3" t="str">
        <f t="shared" si="5"/>
        <v/>
      </c>
      <c r="G25" s="3">
        <f t="shared" si="5"/>
        <v>100</v>
      </c>
      <c r="H25" s="3">
        <f t="shared" si="5"/>
        <v>89.434164459711795</v>
      </c>
      <c r="I25" s="3">
        <f t="shared" si="5"/>
        <v>98.430697009616068</v>
      </c>
      <c r="J25" s="3">
        <f t="shared" si="5"/>
        <v>78.733050888994015</v>
      </c>
      <c r="K25" s="3">
        <f t="shared" si="5"/>
        <v>61.946287205062156</v>
      </c>
      <c r="L25" s="3">
        <f t="shared" si="5"/>
        <v>50.065089875466164</v>
      </c>
      <c r="M25" s="3">
        <f t="shared" si="5"/>
        <v>46.387578427431826</v>
      </c>
      <c r="N25" s="3">
        <f t="shared" si="5"/>
        <v>45.206504883706771</v>
      </c>
      <c r="O25" s="3">
        <f t="shared" si="5"/>
        <v>0</v>
      </c>
      <c r="P25" s="3">
        <f t="shared" si="5"/>
        <v>34.721785512859455</v>
      </c>
      <c r="Q25" s="3">
        <f t="shared" ref="Q25:Q33" si="6">P25-O25</f>
        <v>34.721785512859455</v>
      </c>
      <c r="R25" s="67"/>
      <c r="S25" s="67"/>
      <c r="T25"/>
      <c r="U25"/>
      <c r="V25"/>
    </row>
    <row r="26" spans="1:22" ht="23.5" customHeight="1" x14ac:dyDescent="0.35">
      <c r="B26" s="132"/>
      <c r="C26" s="40" t="s">
        <v>157</v>
      </c>
      <c r="D26" s="42" t="s">
        <v>44</v>
      </c>
      <c r="E26" s="3" t="str">
        <f t="shared" ref="E26:P26" si="7">IFERROR((E8-MIN($E8:$P8))/(MAX($E8:$P8)-MIN($E8:$P8))*100,"")</f>
        <v/>
      </c>
      <c r="F26" s="3" t="str">
        <f t="shared" si="7"/>
        <v/>
      </c>
      <c r="G26" s="3">
        <f t="shared" si="7"/>
        <v>96.198712327322227</v>
      </c>
      <c r="H26" s="3">
        <f t="shared" si="7"/>
        <v>85.201118389181048</v>
      </c>
      <c r="I26" s="3">
        <f t="shared" si="7"/>
        <v>74.121846147810771</v>
      </c>
      <c r="J26" s="3">
        <f t="shared" si="7"/>
        <v>77.87183800688166</v>
      </c>
      <c r="K26" s="3">
        <f t="shared" si="7"/>
        <v>100</v>
      </c>
      <c r="L26" s="3">
        <f t="shared" si="7"/>
        <v>91.322012005401604</v>
      </c>
      <c r="M26" s="3">
        <f t="shared" si="7"/>
        <v>76.7475499798784</v>
      </c>
      <c r="N26" s="3">
        <f t="shared" si="7"/>
        <v>79.766424845198614</v>
      </c>
      <c r="O26" s="3">
        <f t="shared" si="7"/>
        <v>0</v>
      </c>
      <c r="P26" s="3">
        <f t="shared" si="7"/>
        <v>3.9345639285031835</v>
      </c>
      <c r="Q26" s="3">
        <f t="shared" si="6"/>
        <v>3.9345639285031835</v>
      </c>
      <c r="R26" s="67"/>
      <c r="S26" s="67"/>
      <c r="T26" t="s">
        <v>142</v>
      </c>
      <c r="U26"/>
      <c r="V26"/>
    </row>
    <row r="27" spans="1:22" ht="23.5" customHeight="1" x14ac:dyDescent="0.35">
      <c r="B27" s="132"/>
      <c r="C27" s="40" t="s">
        <v>158</v>
      </c>
      <c r="D27" s="42" t="s">
        <v>44</v>
      </c>
      <c r="E27" s="3" t="str">
        <f t="shared" ref="E27:P27" si="8">IFERROR((E9-MIN($E9:$P9))/(MAX($E9:$P9)-MIN($E9:$P9))*100,"")</f>
        <v/>
      </c>
      <c r="F27" s="3" t="str">
        <f t="shared" si="8"/>
        <v/>
      </c>
      <c r="G27" s="3">
        <f t="shared" si="8"/>
        <v>100</v>
      </c>
      <c r="H27" s="3">
        <f t="shared" si="8"/>
        <v>91.018625367387187</v>
      </c>
      <c r="I27" s="3">
        <f t="shared" si="8"/>
        <v>88.667396170321439</v>
      </c>
      <c r="J27" s="3">
        <f t="shared" si="8"/>
        <v>74.531983861220198</v>
      </c>
      <c r="K27" s="3">
        <f t="shared" si="8"/>
        <v>58.183064465345403</v>
      </c>
      <c r="L27" s="3">
        <f t="shared" si="8"/>
        <v>50.515240020920579</v>
      </c>
      <c r="M27" s="3">
        <f t="shared" si="8"/>
        <v>53.163591277302999</v>
      </c>
      <c r="N27" s="3">
        <f t="shared" si="8"/>
        <v>53.42562124875824</v>
      </c>
      <c r="O27" s="3">
        <f t="shared" si="8"/>
        <v>0</v>
      </c>
      <c r="P27" s="3">
        <f t="shared" si="8"/>
        <v>40.423764121034111</v>
      </c>
      <c r="Q27" s="3">
        <f t="shared" si="6"/>
        <v>40.423764121034111</v>
      </c>
      <c r="R27" s="67"/>
      <c r="S27" s="67"/>
      <c r="T27"/>
      <c r="U27"/>
      <c r="V27"/>
    </row>
    <row r="28" spans="1:22" ht="23.5" customHeight="1" x14ac:dyDescent="0.35">
      <c r="B28" s="132"/>
      <c r="C28" s="40" t="s">
        <v>98</v>
      </c>
      <c r="D28" s="42" t="s">
        <v>119</v>
      </c>
      <c r="E28" s="3">
        <f t="shared" ref="E28:P28" si="9">IFERROR((E10-MIN($E10:$P10))/(MAX($E10:$P10)-MIN($E10:$P10))*100,"")</f>
        <v>100</v>
      </c>
      <c r="F28" s="3">
        <f t="shared" si="9"/>
        <v>53.286407734295452</v>
      </c>
      <c r="G28" s="3">
        <f t="shared" si="9"/>
        <v>69.428277313020587</v>
      </c>
      <c r="H28" s="3">
        <f t="shared" si="9"/>
        <v>57.444162019724665</v>
      </c>
      <c r="I28" s="3">
        <f t="shared" si="9"/>
        <v>48.272128245290617</v>
      </c>
      <c r="J28" s="3">
        <f t="shared" si="9"/>
        <v>28.281841930424754</v>
      </c>
      <c r="K28" s="3">
        <f t="shared" si="9"/>
        <v>51.887822889057524</v>
      </c>
      <c r="L28" s="3">
        <f t="shared" si="9"/>
        <v>53.895402078265711</v>
      </c>
      <c r="M28" s="3">
        <f t="shared" si="9"/>
        <v>57.413746103851913</v>
      </c>
      <c r="N28" s="3">
        <f t="shared" si="9"/>
        <v>43.125426226290323</v>
      </c>
      <c r="O28" s="3">
        <f t="shared" si="9"/>
        <v>0</v>
      </c>
      <c r="P28" s="3">
        <f t="shared" si="9"/>
        <v>11.94086409093733</v>
      </c>
      <c r="Q28" s="3">
        <f t="shared" si="6"/>
        <v>11.94086409093733</v>
      </c>
      <c r="R28" s="67"/>
      <c r="S28" s="67"/>
      <c r="T28" s="64" t="s">
        <v>143</v>
      </c>
      <c r="U28"/>
      <c r="V28"/>
    </row>
    <row r="29" spans="1:22" ht="23.5" customHeight="1" x14ac:dyDescent="0.35">
      <c r="B29" s="132"/>
      <c r="C29" s="40" t="s">
        <v>100</v>
      </c>
      <c r="D29" s="42" t="s">
        <v>132</v>
      </c>
      <c r="E29" s="3">
        <f t="shared" ref="E29:P29" si="10">IFERROR((E11-MIN($E11:$P11))/(MAX($E11:$P11)-MIN($E11:$P11))*100,"")</f>
        <v>0</v>
      </c>
      <c r="F29" s="3">
        <f t="shared" si="10"/>
        <v>12.418767611819096</v>
      </c>
      <c r="G29" s="3">
        <f t="shared" si="10"/>
        <v>28.041488678574396</v>
      </c>
      <c r="H29" s="3">
        <f t="shared" si="10"/>
        <v>37.00271387063713</v>
      </c>
      <c r="I29" s="3">
        <f t="shared" si="10"/>
        <v>48.711225780709938</v>
      </c>
      <c r="J29" s="3">
        <f t="shared" si="10"/>
        <v>62.96761239741393</v>
      </c>
      <c r="K29" s="3">
        <f t="shared" si="10"/>
        <v>79.5779861257557</v>
      </c>
      <c r="L29" s="3">
        <f t="shared" si="10"/>
        <v>84.873080486695997</v>
      </c>
      <c r="M29" s="3">
        <f t="shared" si="10"/>
        <v>91.47325349692467</v>
      </c>
      <c r="N29" s="3">
        <f t="shared" si="10"/>
        <v>100</v>
      </c>
      <c r="O29" s="3">
        <f t="shared" si="10"/>
        <v>81.322030829416263</v>
      </c>
      <c r="P29" s="3">
        <f t="shared" si="10"/>
        <v>91.108105585261626</v>
      </c>
      <c r="Q29" s="3">
        <f t="shared" si="6"/>
        <v>9.7860747558453625</v>
      </c>
      <c r="R29" s="67"/>
      <c r="S29" s="67"/>
      <c r="T29" s="64" t="s">
        <v>144</v>
      </c>
      <c r="U29"/>
      <c r="V29"/>
    </row>
    <row r="30" spans="1:22" ht="23.5" customHeight="1" x14ac:dyDescent="0.35">
      <c r="B30" s="133"/>
      <c r="C30" s="40" t="s">
        <v>47</v>
      </c>
      <c r="D30" s="42" t="s">
        <v>48</v>
      </c>
      <c r="E30" s="3">
        <f t="shared" ref="E30:P30" si="11">IFERROR((E12-MIN($E12:$P12))/(MAX($E12:$P12)-MIN($E12:$P12))*100,"")</f>
        <v>21.557628630484739</v>
      </c>
      <c r="F30" s="3">
        <f t="shared" si="11"/>
        <v>59.470617149433735</v>
      </c>
      <c r="G30" s="3">
        <f t="shared" si="11"/>
        <v>69.137238402205199</v>
      </c>
      <c r="H30" s="3">
        <f t="shared" si="11"/>
        <v>74.227647826855247</v>
      </c>
      <c r="I30" s="3">
        <f t="shared" si="11"/>
        <v>90.081422632725236</v>
      </c>
      <c r="J30" s="3">
        <f t="shared" si="11"/>
        <v>84.094989348544956</v>
      </c>
      <c r="K30" s="3">
        <f t="shared" si="11"/>
        <v>100</v>
      </c>
      <c r="L30" s="3">
        <f t="shared" si="11"/>
        <v>86.320484799098466</v>
      </c>
      <c r="M30" s="3">
        <f t="shared" si="11"/>
        <v>85.850312156996438</v>
      </c>
      <c r="N30" s="3">
        <f t="shared" si="11"/>
        <v>75.782124403000765</v>
      </c>
      <c r="O30" s="3">
        <f t="shared" si="11"/>
        <v>45.256471312535645</v>
      </c>
      <c r="P30" s="3">
        <f t="shared" si="11"/>
        <v>0</v>
      </c>
      <c r="Q30" s="3">
        <f t="shared" si="6"/>
        <v>-45.256471312535645</v>
      </c>
      <c r="R30" s="67"/>
      <c r="S30" s="67"/>
      <c r="T30" s="64" t="s">
        <v>145</v>
      </c>
      <c r="U30"/>
      <c r="V30"/>
    </row>
    <row r="31" spans="1:22" ht="23.5" customHeight="1" x14ac:dyDescent="0.35">
      <c r="B31" s="44" t="s">
        <v>103</v>
      </c>
      <c r="C31" s="40" t="s">
        <v>7</v>
      </c>
      <c r="D31" s="42" t="s">
        <v>104</v>
      </c>
      <c r="E31" s="3">
        <f t="shared" ref="E31:P31" si="12">IFERROR((E13-MIN($E13:$P13))/(MAX($E13:$P13)-MIN($E13:$P13))*100,"")</f>
        <v>13.333333333332575</v>
      </c>
      <c r="F31" s="3">
        <f t="shared" si="12"/>
        <v>79.999999999999233</v>
      </c>
      <c r="G31" s="3">
        <f t="shared" si="12"/>
        <v>86.666666666666487</v>
      </c>
      <c r="H31" s="3">
        <f t="shared" si="12"/>
        <v>53.333333333333144</v>
      </c>
      <c r="I31" s="3">
        <f t="shared" si="12"/>
        <v>0</v>
      </c>
      <c r="J31" s="3">
        <f t="shared" si="12"/>
        <v>19.999999999999808</v>
      </c>
      <c r="K31" s="3">
        <f t="shared" si="12"/>
        <v>0</v>
      </c>
      <c r="L31" s="3">
        <f t="shared" si="12"/>
        <v>100</v>
      </c>
      <c r="M31" s="3">
        <f t="shared" si="12"/>
        <v>86.666666666666487</v>
      </c>
      <c r="N31" s="3">
        <f t="shared" si="12"/>
        <v>26.666666666666099</v>
      </c>
      <c r="O31" s="3">
        <f t="shared" si="12"/>
        <v>33.333333333333329</v>
      </c>
      <c r="P31" s="3">
        <f t="shared" si="12"/>
        <v>19.999999999999808</v>
      </c>
      <c r="Q31" s="3">
        <f t="shared" si="6"/>
        <v>-13.33333333333352</v>
      </c>
      <c r="R31" s="67"/>
      <c r="S31" s="67"/>
      <c r="T31" s="64" t="s">
        <v>145</v>
      </c>
      <c r="U31"/>
      <c r="V31"/>
    </row>
    <row r="32" spans="1:22" ht="23.5" customHeight="1" x14ac:dyDescent="0.35">
      <c r="B32" s="134" t="s">
        <v>107</v>
      </c>
      <c r="C32" s="40" t="s">
        <v>108</v>
      </c>
      <c r="D32" s="42" t="s">
        <v>55</v>
      </c>
      <c r="E32" s="3">
        <f>IFERROR((1-(E14-MIN($E14:$P14))/(MAX($E14:$P14)-MIN($E14:$P14)))*100,"")</f>
        <v>85.952345195433281</v>
      </c>
      <c r="F32" s="3">
        <f t="shared" ref="F32:P32" si="13">IFERROR((1-(F14-MIN($E14:$P14))/(MAX($E14:$P14)-MIN($E14:$P14)))*100,"")</f>
        <v>33.401557062862643</v>
      </c>
      <c r="G32" s="3">
        <f t="shared" si="13"/>
        <v>74.642087353188984</v>
      </c>
      <c r="H32" s="3">
        <f t="shared" si="13"/>
        <v>70.490256805434299</v>
      </c>
      <c r="I32" s="3">
        <f t="shared" si="13"/>
        <v>63.296933680852675</v>
      </c>
      <c r="J32" s="3">
        <f t="shared" si="13"/>
        <v>40.123306115703869</v>
      </c>
      <c r="K32" s="3">
        <f t="shared" si="13"/>
        <v>63.083318147646914</v>
      </c>
      <c r="L32" s="3">
        <f t="shared" si="13"/>
        <v>100</v>
      </c>
      <c r="M32" s="3">
        <f t="shared" si="13"/>
        <v>83.660800329637638</v>
      </c>
      <c r="N32" s="3">
        <f t="shared" si="13"/>
        <v>89.433769808241095</v>
      </c>
      <c r="O32" s="3">
        <f t="shared" si="13"/>
        <v>87.989880781407024</v>
      </c>
      <c r="P32" s="3">
        <f t="shared" si="13"/>
        <v>0</v>
      </c>
      <c r="Q32" s="3">
        <f t="shared" si="6"/>
        <v>-87.989880781407024</v>
      </c>
      <c r="R32" s="67"/>
      <c r="S32" s="67"/>
      <c r="T32" t="s">
        <v>146</v>
      </c>
      <c r="U32"/>
      <c r="V32"/>
    </row>
    <row r="33" spans="2:22" ht="23.5" customHeight="1" x14ac:dyDescent="0.35">
      <c r="B33" s="132"/>
      <c r="C33" s="49" t="s">
        <v>82</v>
      </c>
      <c r="D33" s="42" t="s">
        <v>81</v>
      </c>
      <c r="E33" s="3">
        <f t="shared" ref="E33:P34" si="14">IFERROR((1-(E15-MIN($E15:$P15))/(MAX($E15:$P15)-MIN($E15:$P15)))*100,"")</f>
        <v>72.498121684417228</v>
      </c>
      <c r="F33" s="3">
        <f t="shared" si="14"/>
        <v>85.578920850914116</v>
      </c>
      <c r="G33" s="3">
        <f t="shared" si="14"/>
        <v>95.940508622785757</v>
      </c>
      <c r="H33" s="3">
        <f t="shared" si="14"/>
        <v>100</v>
      </c>
      <c r="I33" s="3">
        <f t="shared" si="14"/>
        <v>95.978683612450482</v>
      </c>
      <c r="J33" s="3">
        <f t="shared" si="14"/>
        <v>75.760273460732108</v>
      </c>
      <c r="K33" s="3">
        <f t="shared" si="14"/>
        <v>72.849889115544229</v>
      </c>
      <c r="L33" s="3">
        <f t="shared" si="14"/>
        <v>66.923057619278481</v>
      </c>
      <c r="M33" s="3">
        <f t="shared" si="14"/>
        <v>61.81778625806578</v>
      </c>
      <c r="N33" s="3">
        <f t="shared" si="14"/>
        <v>55.751182552063014</v>
      </c>
      <c r="O33" s="3">
        <f t="shared" si="14"/>
        <v>7.8261038379971897</v>
      </c>
      <c r="P33" s="3">
        <f t="shared" si="14"/>
        <v>0</v>
      </c>
      <c r="Q33" s="3">
        <f t="shared" si="6"/>
        <v>-7.8261038379971897</v>
      </c>
      <c r="R33" s="67"/>
      <c r="S33" s="67"/>
      <c r="T33" t="s">
        <v>147</v>
      </c>
      <c r="U33"/>
      <c r="V33"/>
    </row>
    <row r="34" spans="2:22" ht="23.5" customHeight="1" x14ac:dyDescent="0.35">
      <c r="B34" s="133"/>
      <c r="C34" s="40" t="s">
        <v>148</v>
      </c>
      <c r="D34" s="42" t="s">
        <v>112</v>
      </c>
      <c r="E34" s="3">
        <f t="shared" si="14"/>
        <v>40.52332678732553</v>
      </c>
      <c r="F34" s="3">
        <f t="shared" si="14"/>
        <v>13.294023263504718</v>
      </c>
      <c r="G34" s="3">
        <f t="shared" si="14"/>
        <v>60.755798524494445</v>
      </c>
      <c r="H34" s="3">
        <f t="shared" si="14"/>
        <v>58.516002335332516</v>
      </c>
      <c r="I34" s="3">
        <f t="shared" si="14"/>
        <v>53.786953983334243</v>
      </c>
      <c r="J34" s="3">
        <f t="shared" si="14"/>
        <v>0</v>
      </c>
      <c r="K34" s="3">
        <f t="shared" si="14"/>
        <v>2.201152968362774</v>
      </c>
      <c r="L34" s="3">
        <f t="shared" si="14"/>
        <v>77.331106874124757</v>
      </c>
      <c r="M34" s="3">
        <f t="shared" si="14"/>
        <v>73.817737912000453</v>
      </c>
      <c r="N34" s="3">
        <f t="shared" si="14"/>
        <v>100</v>
      </c>
      <c r="O34" s="3">
        <f t="shared" si="14"/>
        <v>39.076155520081002</v>
      </c>
      <c r="P34" s="3">
        <f t="shared" si="14"/>
        <v>48.681067883870291</v>
      </c>
      <c r="Q34" s="3">
        <f>P34-O34</f>
        <v>9.604912363789289</v>
      </c>
      <c r="R34" s="67"/>
      <c r="S34" s="67"/>
      <c r="T34" s="64" t="s">
        <v>149</v>
      </c>
      <c r="U34"/>
      <c r="V34"/>
    </row>
    <row r="35" spans="2:22" x14ac:dyDescent="0.35">
      <c r="C35" s="61"/>
    </row>
    <row r="36" spans="2:22" x14ac:dyDescent="0.35">
      <c r="C36" s="61" t="s">
        <v>150</v>
      </c>
    </row>
    <row r="37" spans="2:22" ht="34.5" x14ac:dyDescent="0.35">
      <c r="C37" s="63" t="s">
        <v>151</v>
      </c>
    </row>
    <row r="38" spans="2:22" ht="57.5" x14ac:dyDescent="0.35">
      <c r="C38" s="61" t="s">
        <v>152</v>
      </c>
    </row>
    <row r="39" spans="2:22" x14ac:dyDescent="0.35">
      <c r="C39" t="s">
        <v>153</v>
      </c>
    </row>
  </sheetData>
  <mergeCells count="4">
    <mergeCell ref="B24:B30"/>
    <mergeCell ref="B32:B34"/>
    <mergeCell ref="B6:B12"/>
    <mergeCell ref="B14:B16"/>
  </mergeCells>
  <hyperlinks>
    <hyperlink ref="V6" r:id="rId1"/>
    <hyperlink ref="V13" r:id="rId2"/>
    <hyperlink ref="V7" r:id="rId3"/>
    <hyperlink ref="V8" r:id="rId4"/>
    <hyperlink ref="V9" r:id="rId5"/>
    <hyperlink ref="V15" r:id="rId6"/>
    <hyperlink ref="V17" r:id="rId7"/>
  </hyperlinks>
  <pageMargins left="0.7" right="0.7" top="0.75" bottom="0.75" header="0.3" footer="0.3"/>
  <ignoredErrors>
    <ignoredError sqref="Q11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8"/>
  <sheetViews>
    <sheetView showGridLines="0" topLeftCell="A3" zoomScaleNormal="100" workbookViewId="0">
      <pane xSplit="4" topLeftCell="E1" activePane="topRight" state="frozen"/>
      <selection activeCell="C13" sqref="C13:P16"/>
      <selection pane="topRight" activeCell="C13" sqref="C13:P16"/>
    </sheetView>
  </sheetViews>
  <sheetFormatPr baseColWidth="10" defaultColWidth="11.453125" defaultRowHeight="14.5" x14ac:dyDescent="0.35"/>
  <cols>
    <col min="2" max="2" width="20.1796875" customWidth="1"/>
    <col min="3" max="3" width="28.54296875" customWidth="1"/>
    <col min="4" max="4" width="19.7265625" customWidth="1"/>
    <col min="18" max="18" width="14.26953125" style="12" customWidth="1"/>
    <col min="19" max="19" width="12.1796875" style="22" customWidth="1"/>
    <col min="20" max="20" width="11.453125" style="22"/>
  </cols>
  <sheetData>
    <row r="2" spans="2:20" ht="18" x14ac:dyDescent="0.35">
      <c r="B2" s="54" t="s">
        <v>1</v>
      </c>
      <c r="C2" s="2"/>
      <c r="D2" s="2"/>
    </row>
    <row r="4" spans="2:20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92</v>
      </c>
      <c r="R4" s="5" t="s">
        <v>93</v>
      </c>
      <c r="S4" s="23" t="s">
        <v>19</v>
      </c>
      <c r="T4" s="23" t="s">
        <v>94</v>
      </c>
    </row>
    <row r="5" spans="2:20" ht="26.5" customHeight="1" x14ac:dyDescent="0.35">
      <c r="B5" s="48"/>
      <c r="C5" s="39" t="s">
        <v>128</v>
      </c>
      <c r="D5" s="36" t="s">
        <v>51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7"/>
      <c r="S5" s="38" t="s">
        <v>188</v>
      </c>
      <c r="T5" s="38" t="s">
        <v>188</v>
      </c>
    </row>
    <row r="6" spans="2:20" ht="33.65" customHeight="1" x14ac:dyDescent="0.35">
      <c r="B6" s="132" t="s">
        <v>189</v>
      </c>
      <c r="C6" s="41" t="s">
        <v>170</v>
      </c>
      <c r="D6" s="4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3"/>
      <c r="Q6" s="3"/>
      <c r="R6" s="3"/>
      <c r="S6" s="25"/>
      <c r="T6" s="24"/>
    </row>
    <row r="7" spans="2:20" ht="33.65" customHeight="1" x14ac:dyDescent="0.35">
      <c r="B7" s="132"/>
      <c r="C7" s="40" t="s">
        <v>159</v>
      </c>
      <c r="D7" s="42" t="s">
        <v>25</v>
      </c>
      <c r="E7" s="3">
        <v>30.773238357682992</v>
      </c>
      <c r="F7" s="3">
        <v>27.824270000000002</v>
      </c>
      <c r="G7" s="3">
        <v>25.810889999999997</v>
      </c>
      <c r="H7" s="3">
        <v>23.911744656441176</v>
      </c>
      <c r="I7" s="3">
        <v>22.727381421766662</v>
      </c>
      <c r="J7" s="3">
        <v>21.77164808070491</v>
      </c>
      <c r="K7" s="3">
        <v>20.742382536502134</v>
      </c>
      <c r="L7" s="3">
        <v>21.699987027828715</v>
      </c>
      <c r="M7" s="3">
        <v>20.487972608114941</v>
      </c>
      <c r="N7" s="3">
        <v>20.193379926918801</v>
      </c>
      <c r="O7" s="3">
        <v>30.133153077386137</v>
      </c>
      <c r="P7" s="31">
        <v>25.9</v>
      </c>
      <c r="Q7" s="3">
        <f>P7-O7</f>
        <v>-4.2331530773861381</v>
      </c>
      <c r="R7" s="29"/>
      <c r="S7" s="25" t="s">
        <v>49</v>
      </c>
      <c r="T7" s="24" t="s">
        <v>190</v>
      </c>
    </row>
    <row r="8" spans="2:20" ht="33.65" customHeight="1" x14ac:dyDescent="0.35">
      <c r="B8" s="132"/>
      <c r="C8" s="40" t="s">
        <v>160</v>
      </c>
      <c r="D8" s="45" t="s">
        <v>191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3"/>
      <c r="Q8" s="3"/>
      <c r="R8" s="3"/>
      <c r="S8" s="25"/>
      <c r="T8" s="24"/>
    </row>
    <row r="9" spans="2:20" ht="33.65" customHeight="1" x14ac:dyDescent="0.35">
      <c r="B9" s="132"/>
      <c r="C9" s="40" t="s">
        <v>162</v>
      </c>
      <c r="D9" s="45" t="s">
        <v>192</v>
      </c>
      <c r="E9" s="3" t="s">
        <v>24</v>
      </c>
      <c r="F9" s="3" t="s">
        <v>24</v>
      </c>
      <c r="G9" s="3">
        <v>11.2</v>
      </c>
      <c r="H9" s="3">
        <v>11.5</v>
      </c>
      <c r="I9" s="3">
        <v>11.9</v>
      </c>
      <c r="J9" s="3">
        <v>12.1</v>
      </c>
      <c r="K9" s="3">
        <v>12.7</v>
      </c>
      <c r="L9" s="3">
        <v>12.8</v>
      </c>
      <c r="M9" s="3">
        <v>13.6</v>
      </c>
      <c r="N9" s="3">
        <v>13.5</v>
      </c>
      <c r="O9" s="3">
        <v>14.5</v>
      </c>
      <c r="P9" s="33">
        <v>16.8</v>
      </c>
      <c r="Q9" s="3">
        <f>P9-O9</f>
        <v>2.3000000000000007</v>
      </c>
      <c r="R9" s="29"/>
      <c r="S9" s="25" t="s">
        <v>193</v>
      </c>
      <c r="T9" s="26" t="s">
        <v>194</v>
      </c>
    </row>
    <row r="10" spans="2:20" ht="33.65" customHeight="1" x14ac:dyDescent="0.35">
      <c r="B10" s="132"/>
      <c r="C10" s="40" t="s">
        <v>195</v>
      </c>
      <c r="D10" s="45" t="s">
        <v>192</v>
      </c>
      <c r="E10" s="3">
        <v>15.2</v>
      </c>
      <c r="F10" s="3">
        <v>15.3</v>
      </c>
      <c r="G10" s="3">
        <v>15.2</v>
      </c>
      <c r="H10" s="3">
        <v>15.3</v>
      </c>
      <c r="I10" s="3">
        <v>15.7</v>
      </c>
      <c r="J10" s="3">
        <v>15.9</v>
      </c>
      <c r="K10" s="3">
        <v>16.100000000000001</v>
      </c>
      <c r="L10" s="3">
        <v>15.9</v>
      </c>
      <c r="M10" s="3">
        <v>16</v>
      </c>
      <c r="N10" s="3">
        <v>15.9</v>
      </c>
      <c r="O10" s="3">
        <v>17.528021387722223</v>
      </c>
      <c r="P10" s="3">
        <v>19.817185411757759</v>
      </c>
      <c r="Q10" s="3">
        <f>P10-O10</f>
        <v>2.2891640240355358</v>
      </c>
      <c r="R10" s="29"/>
      <c r="S10" s="25" t="s">
        <v>193</v>
      </c>
      <c r="T10" s="26" t="s">
        <v>194</v>
      </c>
    </row>
    <row r="11" spans="2:20" ht="33.65" customHeight="1" x14ac:dyDescent="0.35">
      <c r="B11" s="132"/>
      <c r="C11" s="41" t="s">
        <v>171</v>
      </c>
      <c r="D11" s="43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31"/>
      <c r="Q11" s="52"/>
      <c r="R11" s="50"/>
      <c r="S11" s="53"/>
      <c r="T11" s="24"/>
    </row>
    <row r="12" spans="2:20" ht="33.65" customHeight="1" x14ac:dyDescent="0.35">
      <c r="B12" s="133"/>
      <c r="C12" s="40" t="s">
        <v>163</v>
      </c>
      <c r="D12" s="42" t="s">
        <v>85</v>
      </c>
      <c r="E12" s="3" t="s">
        <v>24</v>
      </c>
      <c r="F12" s="3">
        <v>71</v>
      </c>
      <c r="G12" s="3">
        <v>72.8</v>
      </c>
      <c r="H12" s="3">
        <v>68.599999999999994</v>
      </c>
      <c r="I12" s="3">
        <v>61.3</v>
      </c>
      <c r="J12" s="3">
        <v>69.400000000000006</v>
      </c>
      <c r="K12" s="3">
        <v>71.400000000000006</v>
      </c>
      <c r="L12" s="3">
        <v>74.5</v>
      </c>
      <c r="M12" s="3">
        <v>55.8</v>
      </c>
      <c r="N12" s="3">
        <v>60.7</v>
      </c>
      <c r="O12" s="3">
        <v>69.400000000000006</v>
      </c>
      <c r="P12" s="33">
        <v>73.8</v>
      </c>
      <c r="Q12" s="3">
        <f t="shared" ref="Q12:Q16" si="0">P12-O12</f>
        <v>4.3999999999999915</v>
      </c>
      <c r="R12" s="29"/>
      <c r="S12" s="25" t="s">
        <v>49</v>
      </c>
      <c r="T12" s="91"/>
    </row>
    <row r="13" spans="2:20" ht="33.65" customHeight="1" x14ac:dyDescent="0.35">
      <c r="B13" s="134" t="s">
        <v>196</v>
      </c>
      <c r="C13" s="40" t="s">
        <v>165</v>
      </c>
      <c r="D13" s="42" t="s">
        <v>197</v>
      </c>
      <c r="E13" s="3">
        <v>52.770061658120746</v>
      </c>
      <c r="F13" s="3">
        <v>55.829562527225363</v>
      </c>
      <c r="G13" s="3">
        <v>59.141684418350913</v>
      </c>
      <c r="H13" s="3">
        <v>60.143275251837736</v>
      </c>
      <c r="I13" s="3">
        <v>61.019675886931033</v>
      </c>
      <c r="J13" s="3">
        <v>61.937167119508764</v>
      </c>
      <c r="K13" s="3">
        <v>62.04850881795069</v>
      </c>
      <c r="L13" s="3">
        <v>62.347697580454984</v>
      </c>
      <c r="M13" s="3">
        <v>62.77952447208407</v>
      </c>
      <c r="N13" s="3">
        <v>63.409230400742501</v>
      </c>
      <c r="O13" s="3">
        <v>53.570181798651952</v>
      </c>
      <c r="P13" s="33">
        <v>56.200677289632019</v>
      </c>
      <c r="Q13" s="3">
        <f t="shared" si="0"/>
        <v>2.6304954909800671</v>
      </c>
      <c r="R13" s="32"/>
      <c r="S13" s="25" t="s">
        <v>49</v>
      </c>
      <c r="T13" s="26" t="s">
        <v>102</v>
      </c>
    </row>
    <row r="14" spans="2:20" ht="33.65" customHeight="1" x14ac:dyDescent="0.35">
      <c r="B14" s="133"/>
      <c r="C14" s="41" t="s">
        <v>198</v>
      </c>
      <c r="D14" s="42"/>
      <c r="E14" s="3"/>
      <c r="F14" s="3"/>
      <c r="G14" s="3"/>
      <c r="H14" s="3"/>
      <c r="I14" s="3"/>
      <c r="J14" s="3"/>
      <c r="K14" s="3"/>
      <c r="L14" s="3"/>
      <c r="M14" s="3"/>
      <c r="N14" s="3"/>
      <c r="O14" s="52"/>
      <c r="P14" s="31"/>
      <c r="Q14" s="52"/>
      <c r="R14" s="50"/>
      <c r="S14" s="25"/>
      <c r="T14" s="24"/>
    </row>
    <row r="15" spans="2:20" ht="33.65" customHeight="1" x14ac:dyDescent="0.35">
      <c r="B15" s="139" t="s">
        <v>199</v>
      </c>
      <c r="C15" s="40" t="s">
        <v>166</v>
      </c>
      <c r="D15" s="42" t="s">
        <v>85</v>
      </c>
      <c r="E15" s="3">
        <v>30.2</v>
      </c>
      <c r="F15" s="3">
        <v>37</v>
      </c>
      <c r="G15" s="3">
        <v>42.1</v>
      </c>
      <c r="H15" s="3">
        <v>44.2</v>
      </c>
      <c r="I15" s="3">
        <v>43.6</v>
      </c>
      <c r="J15" s="3">
        <v>41.7</v>
      </c>
      <c r="K15" s="3">
        <v>42</v>
      </c>
      <c r="L15" s="3">
        <v>39.299999999999997</v>
      </c>
      <c r="M15" s="3">
        <v>34.700000000000003</v>
      </c>
      <c r="N15" s="3">
        <v>30.5</v>
      </c>
      <c r="O15" s="3">
        <v>26.8</v>
      </c>
      <c r="P15" s="31">
        <v>23.9</v>
      </c>
      <c r="Q15" s="3">
        <f t="shared" si="0"/>
        <v>-2.9000000000000021</v>
      </c>
      <c r="R15" s="30"/>
      <c r="S15" s="25" t="s">
        <v>49</v>
      </c>
      <c r="T15" s="24" t="s">
        <v>200</v>
      </c>
    </row>
    <row r="16" spans="2:20" ht="33.65" customHeight="1" x14ac:dyDescent="0.35">
      <c r="B16" s="140"/>
      <c r="C16" s="40" t="s">
        <v>201</v>
      </c>
      <c r="D16" s="42" t="s">
        <v>85</v>
      </c>
      <c r="E16" s="3" t="s">
        <v>24</v>
      </c>
      <c r="F16" s="3" t="s">
        <v>24</v>
      </c>
      <c r="G16" s="3" t="s">
        <v>24</v>
      </c>
      <c r="H16" s="3" t="s">
        <v>24</v>
      </c>
      <c r="I16" s="3" t="s">
        <v>24</v>
      </c>
      <c r="J16" s="3" t="s">
        <v>24</v>
      </c>
      <c r="K16" s="3">
        <v>56</v>
      </c>
      <c r="L16" s="3">
        <v>70.3</v>
      </c>
      <c r="M16" s="3">
        <v>80.400000000000006</v>
      </c>
      <c r="N16" s="3">
        <v>84.7</v>
      </c>
      <c r="O16" s="3">
        <v>92.5</v>
      </c>
      <c r="P16" s="33">
        <v>84.7</v>
      </c>
      <c r="Q16" s="3">
        <f t="shared" si="0"/>
        <v>-7.7999999999999972</v>
      </c>
      <c r="R16" s="30"/>
      <c r="S16" s="25" t="s">
        <v>49</v>
      </c>
      <c r="T16" s="26" t="s">
        <v>200</v>
      </c>
    </row>
    <row r="17" spans="2:20" ht="26.5" customHeight="1" x14ac:dyDescent="0.35">
      <c r="B17" s="60" t="s">
        <v>202</v>
      </c>
      <c r="R17"/>
      <c r="S17"/>
      <c r="T17"/>
    </row>
    <row r="18" spans="2:20" x14ac:dyDescent="0.35">
      <c r="C18" s="27"/>
    </row>
  </sheetData>
  <mergeCells count="3">
    <mergeCell ref="B6:B12"/>
    <mergeCell ref="B13:B14"/>
    <mergeCell ref="B15:B16"/>
  </mergeCells>
  <hyperlinks>
    <hyperlink ref="T7" r:id="rId1"/>
  </hyperlinks>
  <pageMargins left="0.7" right="0.7" top="0.75" bottom="0.75" header="0.3" footer="0.3"/>
  <pageSetup paperSize="9" orientation="portrait" horizontalDpi="360" verticalDpi="36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3"/>
  <sheetViews>
    <sheetView showGridLines="0" zoomScale="72" zoomScaleNormal="100" workbookViewId="0">
      <selection activeCell="C13" sqref="C13:P16"/>
    </sheetView>
  </sheetViews>
  <sheetFormatPr baseColWidth="10" defaultColWidth="11.453125" defaultRowHeight="14.5" x14ac:dyDescent="0.35"/>
  <cols>
    <col min="2" max="2" width="22.81640625" customWidth="1"/>
    <col min="3" max="3" width="28.54296875" customWidth="1"/>
    <col min="4" max="4" width="19.7265625" customWidth="1"/>
    <col min="18" max="18" width="14.26953125" style="12" customWidth="1"/>
    <col min="19" max="19" width="12.1796875" style="22" customWidth="1"/>
    <col min="20" max="20" width="11.453125" style="22"/>
  </cols>
  <sheetData>
    <row r="2" spans="2:20" ht="18" x14ac:dyDescent="0.35">
      <c r="B2" s="54" t="s">
        <v>203</v>
      </c>
      <c r="C2" s="2"/>
      <c r="D2" s="2"/>
    </row>
    <row r="4" spans="2:20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92</v>
      </c>
      <c r="R4" s="5" t="s">
        <v>93</v>
      </c>
      <c r="S4" s="23" t="s">
        <v>19</v>
      </c>
      <c r="T4" s="23" t="s">
        <v>94</v>
      </c>
    </row>
    <row r="5" spans="2:20" ht="26.5" customHeight="1" x14ac:dyDescent="0.35">
      <c r="B5" s="48"/>
      <c r="C5" s="39" t="s">
        <v>128</v>
      </c>
      <c r="D5" s="36" t="s">
        <v>51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47"/>
      <c r="S5" s="38" t="s">
        <v>188</v>
      </c>
      <c r="T5" s="38" t="s">
        <v>188</v>
      </c>
    </row>
    <row r="6" spans="2:20" ht="51" customHeight="1" x14ac:dyDescent="0.35">
      <c r="B6" s="132" t="s">
        <v>204</v>
      </c>
      <c r="C6" s="49" t="s">
        <v>205</v>
      </c>
      <c r="D6" s="42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3"/>
      <c r="Q6" s="3"/>
      <c r="R6" s="3"/>
      <c r="S6" s="25"/>
      <c r="T6" s="24"/>
    </row>
    <row r="7" spans="2:20" ht="51" customHeight="1" x14ac:dyDescent="0.35">
      <c r="B7" s="132"/>
      <c r="C7" s="41" t="s">
        <v>206</v>
      </c>
      <c r="D7" s="4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1"/>
      <c r="Q7" s="3"/>
      <c r="R7" s="50"/>
      <c r="S7" s="25"/>
      <c r="T7" s="24"/>
    </row>
    <row r="8" spans="2:20" ht="51" customHeight="1" x14ac:dyDescent="0.35">
      <c r="B8" s="132"/>
      <c r="C8" s="49" t="s">
        <v>207</v>
      </c>
      <c r="D8" s="45" t="s">
        <v>191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3"/>
      <c r="Q8" s="3"/>
      <c r="R8" s="50"/>
      <c r="S8" s="25"/>
      <c r="T8" s="24"/>
    </row>
    <row r="9" spans="2:20" ht="51" customHeight="1" x14ac:dyDescent="0.35">
      <c r="B9" s="133"/>
      <c r="C9" s="55" t="s">
        <v>208</v>
      </c>
      <c r="D9" s="45" t="s">
        <v>85</v>
      </c>
      <c r="E9" s="3">
        <v>14.423112326973708</v>
      </c>
      <c r="F9" s="3">
        <v>14.223743550512014</v>
      </c>
      <c r="G9" s="3">
        <v>17.312335528795675</v>
      </c>
      <c r="H9" s="3">
        <v>13.887304092330366</v>
      </c>
      <c r="I9" s="3">
        <v>11.047065616722062</v>
      </c>
      <c r="J9" s="3">
        <v>11.482054238127869</v>
      </c>
      <c r="K9" s="3">
        <v>12.055062257597271</v>
      </c>
      <c r="L9" s="3">
        <v>11.129399066165391</v>
      </c>
      <c r="M9" s="3">
        <v>11.397798610980869</v>
      </c>
      <c r="N9" s="3">
        <v>10.633949009255472</v>
      </c>
      <c r="O9" s="3">
        <v>4.0441051805458761</v>
      </c>
      <c r="P9" s="33">
        <v>10.156396872857453</v>
      </c>
      <c r="Q9" s="3">
        <f>+P9-O9</f>
        <v>6.1122916923115769</v>
      </c>
      <c r="R9" s="30"/>
      <c r="S9" s="25" t="s">
        <v>180</v>
      </c>
      <c r="T9" s="24"/>
    </row>
    <row r="10" spans="2:20" ht="51" customHeight="1" x14ac:dyDescent="0.35">
      <c r="B10" s="46" t="s">
        <v>209</v>
      </c>
      <c r="C10" s="49" t="s">
        <v>184</v>
      </c>
      <c r="D10" s="45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1"/>
      <c r="Q10" s="3"/>
      <c r="R10" s="50"/>
      <c r="S10" s="25"/>
      <c r="T10" s="26"/>
    </row>
    <row r="11" spans="2:20" ht="51" customHeight="1" x14ac:dyDescent="0.35">
      <c r="B11" s="46" t="s">
        <v>210</v>
      </c>
      <c r="C11" s="49" t="s">
        <v>187</v>
      </c>
      <c r="D11" s="4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3"/>
      <c r="Q11" s="3"/>
      <c r="R11" s="50"/>
      <c r="S11" s="25"/>
      <c r="T11" s="24"/>
    </row>
    <row r="12" spans="2:20" ht="26.5" customHeight="1" x14ac:dyDescent="0.35">
      <c r="B12" s="60" t="s">
        <v>202</v>
      </c>
      <c r="R12"/>
      <c r="S12"/>
      <c r="T12"/>
    </row>
    <row r="13" spans="2:20" x14ac:dyDescent="0.35">
      <c r="C13" s="27"/>
    </row>
  </sheetData>
  <mergeCells count="1">
    <mergeCell ref="B6:B9"/>
  </mergeCells>
  <pageMargins left="0.7" right="0.7" top="0.75" bottom="0.75" header="0.3" footer="0.3"/>
  <pageSetup paperSize="9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22"/>
  <sheetViews>
    <sheetView showGridLines="0" topLeftCell="A9" zoomScale="55" zoomScaleNormal="55" workbookViewId="0">
      <pane xSplit="3" topLeftCell="D1" activePane="topRight" state="frozen"/>
      <selection activeCell="C13" sqref="C13:P16"/>
      <selection pane="topRight" activeCell="C13" sqref="C13:P16"/>
    </sheetView>
  </sheetViews>
  <sheetFormatPr baseColWidth="10" defaultColWidth="11.453125" defaultRowHeight="14.5" x14ac:dyDescent="0.35"/>
  <cols>
    <col min="2" max="2" width="34" customWidth="1"/>
    <col min="3" max="3" width="19.7265625" customWidth="1"/>
    <col min="17" max="17" width="14.26953125" style="12" customWidth="1"/>
    <col min="18" max="18" width="12.1796875" style="22" customWidth="1"/>
    <col min="19" max="19" width="11.453125" style="22"/>
  </cols>
  <sheetData>
    <row r="2" spans="2:19" ht="21" x14ac:dyDescent="0.35">
      <c r="B2" s="2" t="s">
        <v>211</v>
      </c>
      <c r="C2" s="2"/>
    </row>
    <row r="4" spans="2:19" x14ac:dyDescent="0.35">
      <c r="B4" s="4" t="s">
        <v>17</v>
      </c>
      <c r="C4" s="7" t="s">
        <v>18</v>
      </c>
      <c r="D4" s="5">
        <v>2010</v>
      </c>
      <c r="E4" s="5">
        <v>2011</v>
      </c>
      <c r="F4" s="5">
        <v>2012</v>
      </c>
      <c r="G4" s="5">
        <v>2013</v>
      </c>
      <c r="H4" s="5">
        <v>2014</v>
      </c>
      <c r="I4" s="5">
        <v>2015</v>
      </c>
      <c r="J4" s="5">
        <v>2016</v>
      </c>
      <c r="K4" s="5">
        <v>2017</v>
      </c>
      <c r="L4" s="5">
        <v>2018</v>
      </c>
      <c r="M4" s="5">
        <v>2019</v>
      </c>
      <c r="N4" s="5">
        <v>2020</v>
      </c>
      <c r="O4" s="5">
        <v>2021</v>
      </c>
      <c r="P4" s="5" t="s">
        <v>92</v>
      </c>
      <c r="Q4" s="5" t="s">
        <v>93</v>
      </c>
      <c r="R4" s="23" t="s">
        <v>19</v>
      </c>
      <c r="S4" s="23" t="s">
        <v>94</v>
      </c>
    </row>
    <row r="5" spans="2:19" ht="33" customHeight="1" x14ac:dyDescent="0.35">
      <c r="B5" s="6" t="s">
        <v>42</v>
      </c>
      <c r="C5" s="8" t="s">
        <v>44</v>
      </c>
      <c r="D5" s="3">
        <v>6.878443538241652</v>
      </c>
      <c r="E5" s="3">
        <v>6.6385051847325016</v>
      </c>
      <c r="F5" s="3">
        <v>6.1668479655895947</v>
      </c>
      <c r="G5" s="3">
        <v>5.5220118653198647</v>
      </c>
      <c r="H5" s="3">
        <v>5.7891859275132296</v>
      </c>
      <c r="I5" s="3">
        <v>4.7778433975107726</v>
      </c>
      <c r="J5" s="3">
        <v>4.305751822864412</v>
      </c>
      <c r="K5" s="3">
        <v>3.5841720878375005</v>
      </c>
      <c r="L5" s="3">
        <v>3.2144643921257154</v>
      </c>
      <c r="M5" s="3">
        <v>3.1844079970759109</v>
      </c>
      <c r="N5" s="3">
        <v>0.16097470402758329</v>
      </c>
      <c r="O5" s="33">
        <v>1.9278133592164126</v>
      </c>
      <c r="P5" s="3">
        <f>O5-N5</f>
        <v>1.7668386551888293</v>
      </c>
      <c r="Q5" s="29"/>
      <c r="R5" s="25" t="s">
        <v>45</v>
      </c>
      <c r="S5" s="24" t="s">
        <v>96</v>
      </c>
    </row>
    <row r="6" spans="2:19" ht="33" customHeight="1" x14ac:dyDescent="0.35">
      <c r="B6" s="6" t="s">
        <v>156</v>
      </c>
      <c r="C6" s="8" t="s">
        <v>212</v>
      </c>
      <c r="D6" s="3">
        <v>9.3070296792147076</v>
      </c>
      <c r="E6" s="3">
        <v>7.4030480421673559</v>
      </c>
      <c r="F6" s="3">
        <v>5.6943946590487684</v>
      </c>
      <c r="G6" s="3">
        <v>5.7334498904000384</v>
      </c>
      <c r="H6" s="3">
        <v>3.4924181405426822</v>
      </c>
      <c r="I6" s="3">
        <v>3.018285091246355</v>
      </c>
      <c r="J6" s="3">
        <v>2.0569120340561113</v>
      </c>
      <c r="K6" s="3">
        <v>1.9106833050414025</v>
      </c>
      <c r="L6" s="3">
        <v>4.541436358436826</v>
      </c>
      <c r="M6" s="3">
        <v>3.1156977848335856</v>
      </c>
      <c r="N6" s="3">
        <v>-10.585054583890425</v>
      </c>
      <c r="O6" s="33">
        <v>13.824660589470611</v>
      </c>
      <c r="P6" s="3">
        <f t="shared" ref="P6:P11" si="0">O6-N6</f>
        <v>24.409715173361036</v>
      </c>
      <c r="Q6" s="29"/>
      <c r="R6" s="25" t="s">
        <v>49</v>
      </c>
      <c r="S6" s="24" t="s">
        <v>97</v>
      </c>
    </row>
    <row r="7" spans="2:19" ht="33" customHeight="1" x14ac:dyDescent="0.35">
      <c r="B7" s="6" t="s">
        <v>157</v>
      </c>
      <c r="C7" s="8" t="s">
        <v>212</v>
      </c>
      <c r="D7" s="3">
        <v>4.1718626405709642</v>
      </c>
      <c r="E7" s="3">
        <v>5.1396993942997398</v>
      </c>
      <c r="F7" s="3">
        <v>6.0740360064687877</v>
      </c>
      <c r="G7" s="3">
        <v>5.7592759116169105</v>
      </c>
      <c r="H7" s="3">
        <v>-0.4820703667148365</v>
      </c>
      <c r="I7" s="3">
        <v>5.0064164684133772</v>
      </c>
      <c r="J7" s="3">
        <v>10.180252879961159</v>
      </c>
      <c r="K7" s="3">
        <v>4.1492668326762612</v>
      </c>
      <c r="L7" s="3">
        <v>2.5406167145703051</v>
      </c>
      <c r="M7" s="3">
        <v>0.15864172806934107</v>
      </c>
      <c r="N7" s="3">
        <v>-11.621860371187537</v>
      </c>
      <c r="O7" s="33">
        <v>11.136832385170052</v>
      </c>
      <c r="P7" s="3">
        <f>O7-N7</f>
        <v>22.75869275635759</v>
      </c>
      <c r="Q7" s="29"/>
      <c r="R7" s="25" t="s">
        <v>49</v>
      </c>
      <c r="S7" s="24" t="s">
        <v>97</v>
      </c>
    </row>
    <row r="8" spans="2:19" ht="33" customHeight="1" x14ac:dyDescent="0.35">
      <c r="B8" s="6" t="s">
        <v>158</v>
      </c>
      <c r="C8" s="8" t="s">
        <v>212</v>
      </c>
      <c r="D8" s="3">
        <v>6.9451403555714535</v>
      </c>
      <c r="E8" s="3">
        <v>2.0890378660443076</v>
      </c>
      <c r="F8" s="3">
        <v>5.9772148505562228</v>
      </c>
      <c r="G8" s="3">
        <v>4.0041094596827662</v>
      </c>
      <c r="H8" s="3">
        <v>2.0470444888245964</v>
      </c>
      <c r="I8" s="3">
        <v>3.0234301237184695</v>
      </c>
      <c r="J8" s="3">
        <v>-2.2625783140540534</v>
      </c>
      <c r="K8" s="3">
        <v>3.8203624855435123</v>
      </c>
      <c r="L8" s="3">
        <v>4.7463569248349984</v>
      </c>
      <c r="M8" s="3">
        <v>2.1188143729063711</v>
      </c>
      <c r="N8" s="3">
        <v>-10.920865036316428</v>
      </c>
      <c r="O8" s="33">
        <v>9.1486411493323345</v>
      </c>
      <c r="P8" s="3">
        <f>O8-N8</f>
        <v>20.069506185648763</v>
      </c>
      <c r="Q8" s="29"/>
      <c r="R8" s="25" t="s">
        <v>49</v>
      </c>
      <c r="S8" s="24" t="s">
        <v>97</v>
      </c>
    </row>
    <row r="9" spans="2:19" ht="33" customHeight="1" x14ac:dyDescent="0.35">
      <c r="B9" s="6" t="s">
        <v>108</v>
      </c>
      <c r="C9" s="8" t="s">
        <v>55</v>
      </c>
      <c r="D9" s="3">
        <v>2.0764442319031202</v>
      </c>
      <c r="E9" s="3">
        <v>4.7384208424835199</v>
      </c>
      <c r="F9" s="3">
        <v>2.6493688807159002</v>
      </c>
      <c r="G9" s="3">
        <v>2.8596811557922499</v>
      </c>
      <c r="H9" s="3">
        <v>3.2240611887172999</v>
      </c>
      <c r="I9" s="3">
        <v>4.3979285416694003</v>
      </c>
      <c r="J9" s="3">
        <v>3.2348819503701201</v>
      </c>
      <c r="K9" s="3">
        <v>1.3648558837145399</v>
      </c>
      <c r="L9" s="3">
        <v>2.1925231538681902</v>
      </c>
      <c r="M9" s="3">
        <v>1.90009157916242</v>
      </c>
      <c r="N9" s="3">
        <v>1.9732322294607501</v>
      </c>
      <c r="O9" s="33">
        <v>6.4303871634072296</v>
      </c>
      <c r="P9" s="3">
        <f t="shared" si="0"/>
        <v>4.4571549339464793</v>
      </c>
      <c r="Q9" s="30"/>
      <c r="R9" s="25" t="s">
        <v>45</v>
      </c>
      <c r="S9" s="26" t="s">
        <v>109</v>
      </c>
    </row>
    <row r="10" spans="2:19" ht="33" customHeight="1" x14ac:dyDescent="0.35">
      <c r="B10" s="6" t="s">
        <v>47</v>
      </c>
      <c r="C10" s="8" t="s">
        <v>48</v>
      </c>
      <c r="D10" s="3">
        <v>30.017811636601166</v>
      </c>
      <c r="E10" s="3">
        <v>32.519946811063889</v>
      </c>
      <c r="F10" s="3">
        <v>33.15791269029495</v>
      </c>
      <c r="G10" s="3">
        <v>33.493863322819408</v>
      </c>
      <c r="H10" s="3">
        <v>34.540161415884583</v>
      </c>
      <c r="I10" s="3">
        <v>34.145076093543523</v>
      </c>
      <c r="J10" s="3">
        <v>35.194755587454154</v>
      </c>
      <c r="K10" s="3">
        <v>34.291951627891166</v>
      </c>
      <c r="L10" s="3">
        <v>34.260921747319088</v>
      </c>
      <c r="M10" s="3">
        <v>33.59645377192389</v>
      </c>
      <c r="N10" s="3">
        <v>31.581858950866064</v>
      </c>
      <c r="O10" s="33">
        <v>28.595077555710098</v>
      </c>
      <c r="P10" s="3">
        <f t="shared" si="0"/>
        <v>-2.9867813951559654</v>
      </c>
      <c r="Q10" s="30"/>
      <c r="R10" s="25" t="s">
        <v>49</v>
      </c>
      <c r="S10" s="26" t="s">
        <v>102</v>
      </c>
    </row>
    <row r="11" spans="2:19" ht="33" customHeight="1" x14ac:dyDescent="0.35">
      <c r="B11" s="6" t="s">
        <v>165</v>
      </c>
      <c r="C11" s="8" t="s">
        <v>197</v>
      </c>
      <c r="D11" s="3">
        <v>52.770061658120746</v>
      </c>
      <c r="E11" s="3">
        <v>55.829562527225363</v>
      </c>
      <c r="F11" s="3">
        <v>59.141684418350913</v>
      </c>
      <c r="G11" s="3">
        <v>60.143275251837736</v>
      </c>
      <c r="H11" s="3">
        <v>61.019675886931033</v>
      </c>
      <c r="I11" s="3">
        <v>61.937167119508764</v>
      </c>
      <c r="J11" s="3">
        <v>62.04850881795069</v>
      </c>
      <c r="K11" s="3">
        <v>62.347697580454984</v>
      </c>
      <c r="L11" s="3">
        <v>62.77952447208407</v>
      </c>
      <c r="M11" s="3">
        <v>63.409230400742501</v>
      </c>
      <c r="N11" s="3">
        <v>53.570181798651952</v>
      </c>
      <c r="O11" s="33">
        <v>56.200677289632019</v>
      </c>
      <c r="P11" s="3">
        <f t="shared" si="0"/>
        <v>2.6304954909800671</v>
      </c>
      <c r="Q11" s="29"/>
      <c r="R11" s="25" t="s">
        <v>49</v>
      </c>
      <c r="S11" s="26" t="s">
        <v>102</v>
      </c>
    </row>
    <row r="12" spans="2:19" ht="33" customHeight="1" x14ac:dyDescent="0.35">
      <c r="B12" s="6" t="s">
        <v>100</v>
      </c>
      <c r="C12" s="8" t="s">
        <v>132</v>
      </c>
      <c r="D12" s="3">
        <v>656.10648208015516</v>
      </c>
      <c r="E12" s="3">
        <v>729.54271078046554</v>
      </c>
      <c r="F12" s="3">
        <v>821.92496263028067</v>
      </c>
      <c r="G12" s="3">
        <v>874.91561381317263</v>
      </c>
      <c r="H12" s="3">
        <v>944.15186858857442</v>
      </c>
      <c r="I12" s="3">
        <v>1028.4545386077748</v>
      </c>
      <c r="J12" s="3">
        <v>1126.6771032003542</v>
      </c>
      <c r="K12" s="3">
        <v>1157.9887254670966</v>
      </c>
      <c r="L12" s="3">
        <v>1197.0177040091769</v>
      </c>
      <c r="M12" s="3">
        <v>1247.43914080887</v>
      </c>
      <c r="N12" s="3">
        <v>1136.9902091159274</v>
      </c>
      <c r="O12" s="33">
        <v>1194.8584651548474</v>
      </c>
      <c r="P12" s="3">
        <f>O12/N12*100-100</f>
        <v>5.0896002071922624</v>
      </c>
      <c r="Q12" s="29"/>
      <c r="R12" s="25" t="s">
        <v>49</v>
      </c>
      <c r="S12" s="91" t="s">
        <v>101</v>
      </c>
    </row>
    <row r="13" spans="2:19" ht="33" customHeight="1" x14ac:dyDescent="0.35">
      <c r="B13" s="6" t="s">
        <v>159</v>
      </c>
      <c r="C13" s="8" t="s">
        <v>25</v>
      </c>
      <c r="D13" s="3">
        <v>30.773238357682992</v>
      </c>
      <c r="E13" s="3">
        <v>27.824270000000002</v>
      </c>
      <c r="F13" s="3">
        <v>25.810889999999997</v>
      </c>
      <c r="G13" s="3">
        <v>23.911744656441176</v>
      </c>
      <c r="H13" s="3">
        <v>22.727381421766662</v>
      </c>
      <c r="I13" s="3">
        <v>21.77164808070491</v>
      </c>
      <c r="J13" s="3">
        <v>20.742382536502134</v>
      </c>
      <c r="K13" s="3">
        <v>21.699987027828715</v>
      </c>
      <c r="L13" s="3">
        <v>20.487972608114941</v>
      </c>
      <c r="M13" s="3">
        <v>20.193379926918801</v>
      </c>
      <c r="N13" s="3">
        <v>30.133153077386137</v>
      </c>
      <c r="O13" s="31">
        <v>25.9</v>
      </c>
      <c r="P13" s="3">
        <f>O13-N13</f>
        <v>-4.2331530773861381</v>
      </c>
      <c r="Q13" s="29"/>
      <c r="R13" s="25" t="s">
        <v>49</v>
      </c>
      <c r="S13" s="24" t="s">
        <v>190</v>
      </c>
    </row>
    <row r="14" spans="2:19" ht="33" customHeight="1" x14ac:dyDescent="0.35">
      <c r="B14" s="6" t="s">
        <v>213</v>
      </c>
      <c r="C14" s="8" t="s">
        <v>51</v>
      </c>
      <c r="D14" s="3">
        <v>49.1</v>
      </c>
      <c r="E14" s="3">
        <v>44.7</v>
      </c>
      <c r="F14" s="3">
        <v>44.4</v>
      </c>
      <c r="G14" s="3">
        <v>43.9</v>
      </c>
      <c r="H14" s="3">
        <v>43.1</v>
      </c>
      <c r="I14" s="3">
        <v>43.4</v>
      </c>
      <c r="J14" s="3">
        <v>43.6</v>
      </c>
      <c r="K14" s="3">
        <v>43.3</v>
      </c>
      <c r="L14" s="3">
        <v>42.4</v>
      </c>
      <c r="M14" s="3">
        <v>41.6</v>
      </c>
      <c r="N14" s="3">
        <v>43.8</v>
      </c>
      <c r="O14" s="31" t="s">
        <v>188</v>
      </c>
      <c r="P14" s="3"/>
      <c r="Q14" s="15"/>
      <c r="R14" s="25" t="s">
        <v>214</v>
      </c>
      <c r="S14" s="24" t="s">
        <v>215</v>
      </c>
    </row>
    <row r="15" spans="2:19" ht="33" customHeight="1" x14ac:dyDescent="0.35">
      <c r="B15" s="6" t="s">
        <v>216</v>
      </c>
      <c r="C15" s="8" t="s">
        <v>104</v>
      </c>
      <c r="D15" s="3">
        <v>62</v>
      </c>
      <c r="E15" s="3">
        <v>61.1</v>
      </c>
      <c r="F15" s="3">
        <v>61</v>
      </c>
      <c r="G15" s="3">
        <v>62.8</v>
      </c>
      <c r="H15" s="3">
        <v>62.71</v>
      </c>
      <c r="I15" s="3">
        <v>60.3</v>
      </c>
      <c r="J15" s="3">
        <v>59.4</v>
      </c>
      <c r="K15" s="3">
        <v>63.2</v>
      </c>
      <c r="L15" s="3">
        <v>63.2</v>
      </c>
      <c r="M15" s="3" t="s">
        <v>188</v>
      </c>
      <c r="N15" s="3">
        <v>65.2</v>
      </c>
      <c r="O15" s="3">
        <v>62.9</v>
      </c>
      <c r="P15" s="3">
        <f>O15-N15</f>
        <v>-2.3000000000000043</v>
      </c>
      <c r="Q15" s="30"/>
      <c r="R15" s="25" t="s">
        <v>217</v>
      </c>
      <c r="S15" s="34" t="s">
        <v>218</v>
      </c>
    </row>
    <row r="16" spans="2:19" ht="33" customHeight="1" x14ac:dyDescent="0.35">
      <c r="B16" s="6" t="s">
        <v>114</v>
      </c>
      <c r="C16" s="8" t="s">
        <v>57</v>
      </c>
      <c r="D16" s="3">
        <v>7.706288443262781</v>
      </c>
      <c r="E16" s="3">
        <v>7.1715381328523966</v>
      </c>
      <c r="F16" s="3">
        <v>6.4672332524315523</v>
      </c>
      <c r="G16" s="3">
        <v>6.6486219480026056</v>
      </c>
      <c r="H16" s="3">
        <v>6.3647936571990806</v>
      </c>
      <c r="I16" s="3">
        <v>6.8844520533615032</v>
      </c>
      <c r="J16" s="3">
        <v>7.793599975786333</v>
      </c>
      <c r="K16" s="3">
        <v>8.9464702618187815</v>
      </c>
      <c r="L16" s="3">
        <v>9.3286762242699321</v>
      </c>
      <c r="M16" s="3">
        <v>9.3733613785410625</v>
      </c>
      <c r="N16" s="3">
        <v>12.037679586915138</v>
      </c>
      <c r="O16" s="33">
        <v>9.221444799595119</v>
      </c>
      <c r="P16" s="3">
        <f t="shared" ref="P16" si="1">O16-N16</f>
        <v>-2.8162347873200186</v>
      </c>
      <c r="Q16" s="29"/>
      <c r="R16" s="25" t="s">
        <v>45</v>
      </c>
      <c r="S16" s="24" t="s">
        <v>115</v>
      </c>
    </row>
    <row r="17" spans="2:19" ht="33" customHeight="1" x14ac:dyDescent="0.35">
      <c r="B17" s="6" t="s">
        <v>7</v>
      </c>
      <c r="C17" s="8" t="s">
        <v>104</v>
      </c>
      <c r="D17" s="3">
        <v>67.599999999999994</v>
      </c>
      <c r="E17" s="3">
        <v>68.599999999999994</v>
      </c>
      <c r="F17" s="3">
        <v>68.7</v>
      </c>
      <c r="G17" s="3">
        <v>68.2</v>
      </c>
      <c r="H17" s="3">
        <v>67.400000000000006</v>
      </c>
      <c r="I17" s="3">
        <v>67.7</v>
      </c>
      <c r="J17" s="3">
        <v>67.400000000000006</v>
      </c>
      <c r="K17" s="3">
        <v>68.900000000000006</v>
      </c>
      <c r="L17" s="3">
        <v>68.7</v>
      </c>
      <c r="M17" s="3">
        <v>67.8</v>
      </c>
      <c r="N17" s="3">
        <v>67.900000000000006</v>
      </c>
      <c r="O17" s="31">
        <v>67.7</v>
      </c>
      <c r="P17" s="3">
        <f t="shared" ref="P17:P20" si="2">O17-N17</f>
        <v>-0.20000000000000284</v>
      </c>
      <c r="Q17" s="32"/>
      <c r="R17" s="25" t="s">
        <v>105</v>
      </c>
      <c r="S17" s="24" t="s">
        <v>106</v>
      </c>
    </row>
    <row r="18" spans="2:19" ht="33" customHeight="1" x14ac:dyDescent="0.35">
      <c r="B18" s="6" t="s">
        <v>98</v>
      </c>
      <c r="C18" s="8" t="s">
        <v>119</v>
      </c>
      <c r="D18" s="3">
        <v>71.333333333333329</v>
      </c>
      <c r="E18" s="3">
        <v>55.416666666666664</v>
      </c>
      <c r="F18" s="3">
        <v>60.916666666666664</v>
      </c>
      <c r="G18" s="3">
        <v>56.833333333333336</v>
      </c>
      <c r="H18" s="3">
        <v>53.708157187326371</v>
      </c>
      <c r="I18" s="3">
        <v>46.89689073547305</v>
      </c>
      <c r="J18" s="3">
        <v>54.940128517768045</v>
      </c>
      <c r="K18" s="3">
        <v>55.624168584303952</v>
      </c>
      <c r="L18" s="3">
        <v>56.822969754536949</v>
      </c>
      <c r="M18" s="3">
        <v>51.954527537028007</v>
      </c>
      <c r="N18" s="3">
        <v>37.260452412222683</v>
      </c>
      <c r="O18" s="31">
        <v>41.329048814879421</v>
      </c>
      <c r="P18" s="3">
        <f t="shared" si="2"/>
        <v>4.0685964026567376</v>
      </c>
      <c r="Q18" s="29"/>
      <c r="R18" s="25" t="s">
        <v>45</v>
      </c>
      <c r="S18" s="26" t="s">
        <v>99</v>
      </c>
    </row>
    <row r="19" spans="2:19" ht="33" customHeight="1" x14ac:dyDescent="0.35">
      <c r="B19" s="6" t="s">
        <v>219</v>
      </c>
      <c r="C19" s="8" t="s">
        <v>220</v>
      </c>
      <c r="D19" s="3">
        <v>171.61685823754789</v>
      </c>
      <c r="E19" s="3">
        <v>191.27307692307693</v>
      </c>
      <c r="F19" s="3">
        <v>157.01149425287358</v>
      </c>
      <c r="G19" s="3">
        <v>158.62835249042146</v>
      </c>
      <c r="H19" s="3">
        <v>162.04214559386972</v>
      </c>
      <c r="I19" s="3">
        <v>200.86973180076629</v>
      </c>
      <c r="J19" s="3">
        <v>199.28076923076924</v>
      </c>
      <c r="K19" s="3">
        <v>145.04615384615386</v>
      </c>
      <c r="L19" s="3">
        <v>147.58237547892719</v>
      </c>
      <c r="M19" s="3">
        <v>128.68199233716476</v>
      </c>
      <c r="N19" s="3">
        <v>172.66153846153847</v>
      </c>
      <c r="O19" s="31">
        <v>165.727969348659</v>
      </c>
      <c r="P19" s="3">
        <f t="shared" si="2"/>
        <v>-6.9335691128794679</v>
      </c>
      <c r="Q19" s="29"/>
      <c r="R19" s="25" t="s">
        <v>45</v>
      </c>
      <c r="S19" s="26" t="s">
        <v>113</v>
      </c>
    </row>
    <row r="20" spans="2:19" ht="33" customHeight="1" x14ac:dyDescent="0.35">
      <c r="B20" s="6" t="s">
        <v>221</v>
      </c>
      <c r="C20" s="8" t="s">
        <v>85</v>
      </c>
      <c r="D20" s="3">
        <v>4.9000000000000004</v>
      </c>
      <c r="E20" s="3">
        <v>3.4</v>
      </c>
      <c r="F20" s="3">
        <v>3.2</v>
      </c>
      <c r="G20" s="3">
        <v>3.2</v>
      </c>
      <c r="H20" s="3">
        <v>2.2000000000000002</v>
      </c>
      <c r="I20" s="3">
        <v>2.2000000000000002</v>
      </c>
      <c r="J20" s="3">
        <v>2.2000000000000002</v>
      </c>
      <c r="K20" s="3">
        <v>2.2000000000000002</v>
      </c>
      <c r="L20" s="3">
        <v>2.2000000000000002</v>
      </c>
      <c r="M20" s="3">
        <v>2.2000000000000002</v>
      </c>
      <c r="N20" s="3">
        <v>2.1269999999999998</v>
      </c>
      <c r="O20" s="31">
        <v>2.1269999999999998</v>
      </c>
      <c r="P20" s="3">
        <f t="shared" si="2"/>
        <v>0</v>
      </c>
      <c r="Q20" s="32"/>
      <c r="R20" s="25"/>
      <c r="S20" s="24"/>
    </row>
    <row r="21" spans="2:19" ht="33" customHeight="1" x14ac:dyDescent="0.35">
      <c r="B21" s="35" t="s">
        <v>222</v>
      </c>
      <c r="C21" s="8" t="s">
        <v>85</v>
      </c>
      <c r="D21" s="3">
        <v>14.423112326973708</v>
      </c>
      <c r="E21" s="3">
        <v>14.223743550512014</v>
      </c>
      <c r="F21" s="3">
        <v>17.312335528795675</v>
      </c>
      <c r="G21" s="3">
        <v>13.887304092330366</v>
      </c>
      <c r="H21" s="3">
        <v>11.047065616722062</v>
      </c>
      <c r="I21" s="3">
        <v>11.482054238127869</v>
      </c>
      <c r="J21" s="3">
        <v>12.055062257597271</v>
      </c>
      <c r="K21" s="3">
        <v>11.129399066165391</v>
      </c>
      <c r="L21" s="3">
        <v>11.397798610980869</v>
      </c>
      <c r="M21" s="3">
        <v>10.633949009255472</v>
      </c>
      <c r="N21" s="3">
        <v>4.0441051805458761</v>
      </c>
      <c r="O21" s="31">
        <v>10.156396872857453</v>
      </c>
      <c r="P21" s="3">
        <f>O21-N21</f>
        <v>6.1122916923115769</v>
      </c>
      <c r="Q21" s="3"/>
      <c r="R21" s="25"/>
      <c r="S21" s="24"/>
    </row>
    <row r="22" spans="2:19" x14ac:dyDescent="0.35">
      <c r="B22" s="27"/>
    </row>
  </sheetData>
  <hyperlinks>
    <hyperlink ref="S5" r:id="rId1"/>
    <hyperlink ref="S13" r:id="rId2"/>
    <hyperlink ref="S16" r:id="rId3"/>
    <hyperlink ref="S17" r:id="rId4"/>
    <hyperlink ref="S6" r:id="rId5"/>
    <hyperlink ref="S15" r:id="rId6"/>
    <hyperlink ref="S7" r:id="rId7"/>
    <hyperlink ref="S8" r:id="rId8"/>
  </hyperlinks>
  <pageMargins left="0.7" right="0.7" top="0.75" bottom="0.75" header="0.3" footer="0.3"/>
  <legacyDrawing r:id="rId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opLeftCell="A9" zoomScaleNormal="100" workbookViewId="0">
      <pane xSplit="3" topLeftCell="D1" activePane="topRight" state="frozen"/>
      <selection activeCell="C13" sqref="C13:P16"/>
      <selection pane="topRight" activeCell="C13" sqref="C13:P16"/>
    </sheetView>
  </sheetViews>
  <sheetFormatPr baseColWidth="10" defaultColWidth="11.453125" defaultRowHeight="14.5" x14ac:dyDescent="0.35"/>
  <cols>
    <col min="2" max="2" width="31.81640625" customWidth="1"/>
    <col min="3" max="3" width="17.453125" customWidth="1"/>
    <col min="17" max="17" width="14.26953125" style="12" customWidth="1"/>
    <col min="18" max="18" width="18.453125" style="1" customWidth="1"/>
    <col min="19" max="19" width="11.453125" style="22"/>
  </cols>
  <sheetData>
    <row r="2" spans="1:20" ht="18" x14ac:dyDescent="0.35">
      <c r="B2" s="2" t="s">
        <v>223</v>
      </c>
      <c r="C2" s="2"/>
    </row>
    <row r="4" spans="1:20" x14ac:dyDescent="0.35">
      <c r="B4" s="4" t="s">
        <v>17</v>
      </c>
      <c r="C4" s="7" t="s">
        <v>18</v>
      </c>
      <c r="D4" s="5">
        <v>2010</v>
      </c>
      <c r="E4" s="5">
        <v>2011</v>
      </c>
      <c r="F4" s="5">
        <v>2012</v>
      </c>
      <c r="G4" s="5">
        <v>2013</v>
      </c>
      <c r="H4" s="5">
        <v>2014</v>
      </c>
      <c r="I4" s="5">
        <v>2015</v>
      </c>
      <c r="J4" s="5">
        <v>2016</v>
      </c>
      <c r="K4" s="5">
        <v>2017</v>
      </c>
      <c r="L4" s="5">
        <v>2018</v>
      </c>
      <c r="M4" s="5">
        <v>2019</v>
      </c>
      <c r="N4" s="5">
        <v>2020</v>
      </c>
      <c r="O4" s="5">
        <v>2021</v>
      </c>
      <c r="P4" s="5" t="s">
        <v>224</v>
      </c>
      <c r="Q4" s="5" t="s">
        <v>225</v>
      </c>
      <c r="R4" s="5" t="s">
        <v>19</v>
      </c>
      <c r="S4" s="23" t="s">
        <v>94</v>
      </c>
    </row>
    <row r="5" spans="1:20" ht="33" customHeight="1" x14ac:dyDescent="0.35">
      <c r="A5">
        <v>1</v>
      </c>
      <c r="B5" s="6" t="s">
        <v>42</v>
      </c>
      <c r="C5" s="8" t="s">
        <v>226</v>
      </c>
      <c r="D5" s="3">
        <v>6.878443538241652</v>
      </c>
      <c r="E5" s="3">
        <v>6.6385051847325016</v>
      </c>
      <c r="F5" s="3">
        <v>6.1668479655895947</v>
      </c>
      <c r="G5" s="3">
        <v>5.5220118653198647</v>
      </c>
      <c r="H5" s="3">
        <v>5.7891859275132296</v>
      </c>
      <c r="I5" s="3">
        <v>4.7778433975107726</v>
      </c>
      <c r="J5" s="3">
        <v>4.305751822864412</v>
      </c>
      <c r="K5" s="3">
        <v>3.5841720878375005</v>
      </c>
      <c r="L5" s="3">
        <v>3.2144643921257154</v>
      </c>
      <c r="M5" s="3">
        <v>3.1676394823305865</v>
      </c>
      <c r="N5" s="3">
        <v>0.14408253711932772</v>
      </c>
      <c r="O5" s="28" t="s">
        <v>227</v>
      </c>
      <c r="P5" s="3">
        <f>N5-M5</f>
        <v>-3.0235569452112587</v>
      </c>
      <c r="Q5" s="14"/>
      <c r="R5" s="3" t="s">
        <v>45</v>
      </c>
      <c r="S5" s="24" t="s">
        <v>96</v>
      </c>
    </row>
    <row r="6" spans="1:20" ht="33" customHeight="1" x14ac:dyDescent="0.35">
      <c r="A6">
        <v>2</v>
      </c>
      <c r="B6" s="6" t="s">
        <v>228</v>
      </c>
      <c r="C6" s="8" t="s">
        <v>226</v>
      </c>
      <c r="D6" s="3">
        <v>5.6001419924955886</v>
      </c>
      <c r="E6" s="3">
        <v>5.3941078097988537</v>
      </c>
      <c r="F6" s="3">
        <v>5.5393030152474099</v>
      </c>
      <c r="G6" s="3">
        <v>5.3614575416041088</v>
      </c>
      <c r="H6" s="3">
        <v>5.1417834220033098</v>
      </c>
      <c r="I6" s="3">
        <v>4.8018544571505339</v>
      </c>
      <c r="J6" s="3">
        <v>4.6257372870296409</v>
      </c>
      <c r="K6" s="3">
        <v>4.2799805466002594</v>
      </c>
      <c r="L6" s="3">
        <v>3.4522801614349286</v>
      </c>
      <c r="M6" s="3">
        <v>3.2425926695104357</v>
      </c>
      <c r="N6" s="3">
        <v>2.1467678668485313E-2</v>
      </c>
      <c r="O6" s="28" t="s">
        <v>227</v>
      </c>
      <c r="P6" s="3">
        <f>N6-M6</f>
        <v>-3.2211249908419504</v>
      </c>
      <c r="Q6" s="14"/>
      <c r="R6" s="3" t="s">
        <v>49</v>
      </c>
      <c r="S6" s="25"/>
    </row>
    <row r="7" spans="1:20" ht="33" customHeight="1" x14ac:dyDescent="0.35">
      <c r="A7">
        <v>4</v>
      </c>
      <c r="B7" s="6" t="s">
        <v>229</v>
      </c>
      <c r="C7" s="8" t="s">
        <v>230</v>
      </c>
      <c r="D7" s="3">
        <v>24.236898660985787</v>
      </c>
      <c r="E7" s="3">
        <v>26.163630456254481</v>
      </c>
      <c r="F7" s="3">
        <v>27.620435933420694</v>
      </c>
      <c r="G7" s="3">
        <v>27.827443312711836</v>
      </c>
      <c r="H7" s="3">
        <v>28.377281676355167</v>
      </c>
      <c r="I7" s="3">
        <v>28.841862732102882</v>
      </c>
      <c r="J7" s="3">
        <v>28.986554403256704</v>
      </c>
      <c r="K7" s="3">
        <v>28.61315471773176</v>
      </c>
      <c r="L7" s="3">
        <v>28.614818862059948</v>
      </c>
      <c r="M7" s="3">
        <v>29.251893508277348</v>
      </c>
      <c r="N7" s="3">
        <v>32.315142018637573</v>
      </c>
      <c r="O7" s="28" t="s">
        <v>227</v>
      </c>
      <c r="P7" s="3">
        <f>N7-M7</f>
        <v>3.0632485103602249</v>
      </c>
      <c r="Q7" s="13"/>
      <c r="R7" s="3" t="s">
        <v>49</v>
      </c>
      <c r="S7" s="25"/>
    </row>
    <row r="8" spans="1:20" ht="33" customHeight="1" x14ac:dyDescent="0.35">
      <c r="A8">
        <v>5</v>
      </c>
      <c r="B8" s="6" t="s">
        <v>100</v>
      </c>
      <c r="C8" s="8" t="s">
        <v>132</v>
      </c>
      <c r="D8" s="3"/>
      <c r="E8" s="3"/>
      <c r="F8" s="3"/>
      <c r="G8" s="3"/>
      <c r="H8" s="3"/>
      <c r="I8" s="3">
        <v>1225.4316123679776</v>
      </c>
      <c r="J8" s="3">
        <v>1229.1528085352202</v>
      </c>
      <c r="K8" s="3">
        <v>1235.6593004438014</v>
      </c>
      <c r="L8" s="3">
        <v>1293.3812190980354</v>
      </c>
      <c r="M8" s="3">
        <v>1299.184817432234</v>
      </c>
      <c r="N8" s="3">
        <v>1306.2468849281872</v>
      </c>
      <c r="O8" s="28" t="s">
        <v>227</v>
      </c>
      <c r="P8" s="3">
        <f>N8-M8</f>
        <v>7.0620674959532153</v>
      </c>
      <c r="Q8" s="13"/>
      <c r="R8" s="20" t="s">
        <v>231</v>
      </c>
      <c r="S8" s="25"/>
      <c r="T8" t="s">
        <v>101</v>
      </c>
    </row>
    <row r="9" spans="1:20" ht="33" customHeight="1" x14ac:dyDescent="0.35">
      <c r="A9">
        <v>6</v>
      </c>
      <c r="B9" s="6" t="s">
        <v>159</v>
      </c>
      <c r="C9" s="8"/>
      <c r="D9" s="3">
        <v>30.773238357682992</v>
      </c>
      <c r="E9" s="3">
        <v>27.824270000000002</v>
      </c>
      <c r="F9" s="3">
        <v>25.810889999999997</v>
      </c>
      <c r="G9" s="3">
        <v>23.911744656441176</v>
      </c>
      <c r="H9" s="3">
        <v>22.727381421766662</v>
      </c>
      <c r="I9" s="3">
        <v>21.77164808070491</v>
      </c>
      <c r="J9" s="3">
        <v>20.742382536502134</v>
      </c>
      <c r="K9" s="3">
        <v>21.699987027828715</v>
      </c>
      <c r="L9" s="3">
        <v>20.487972608114941</v>
      </c>
      <c r="M9" s="3">
        <v>20.193379926918801</v>
      </c>
      <c r="N9" s="3">
        <v>30.133153077386137</v>
      </c>
      <c r="O9" s="21" t="s">
        <v>227</v>
      </c>
      <c r="P9" s="3"/>
      <c r="Q9" s="15"/>
      <c r="R9" s="3" t="s">
        <v>49</v>
      </c>
      <c r="S9" s="24" t="s">
        <v>190</v>
      </c>
    </row>
    <row r="10" spans="1:20" ht="33" customHeight="1" x14ac:dyDescent="0.35">
      <c r="A10">
        <v>7</v>
      </c>
      <c r="B10" s="6" t="s">
        <v>232</v>
      </c>
      <c r="C10" s="8" t="s">
        <v>233</v>
      </c>
      <c r="D10" s="141" t="s">
        <v>234</v>
      </c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3"/>
      <c r="Q10" s="15"/>
      <c r="R10" s="3" t="s">
        <v>235</v>
      </c>
      <c r="S10" s="25"/>
    </row>
    <row r="11" spans="1:20" ht="33" customHeight="1" x14ac:dyDescent="0.35">
      <c r="A11">
        <v>9</v>
      </c>
      <c r="B11" s="6" t="s">
        <v>114</v>
      </c>
      <c r="C11" s="8" t="s">
        <v>57</v>
      </c>
      <c r="D11" s="3">
        <v>7.706288443262781</v>
      </c>
      <c r="E11" s="3">
        <v>7.1715381328523966</v>
      </c>
      <c r="F11" s="3">
        <v>6.4672332524315648</v>
      </c>
      <c r="G11" s="3">
        <v>6.6486219480026056</v>
      </c>
      <c r="H11" s="3">
        <v>6.3647936571990806</v>
      </c>
      <c r="I11" s="3">
        <v>6.8844520533615032</v>
      </c>
      <c r="J11" s="3">
        <v>7.793599975786333</v>
      </c>
      <c r="K11" s="3">
        <v>8.9464702618187815</v>
      </c>
      <c r="L11" s="3">
        <v>9.3271033466922635</v>
      </c>
      <c r="M11" s="3">
        <v>9.3717481711902551</v>
      </c>
      <c r="N11" s="3">
        <v>12.034450845369642</v>
      </c>
      <c r="O11" s="28" t="s">
        <v>227</v>
      </c>
      <c r="P11" s="3">
        <f>N11-M11</f>
        <v>2.6627026741793873</v>
      </c>
      <c r="Q11" s="14"/>
      <c r="R11" s="3" t="s">
        <v>45</v>
      </c>
      <c r="S11" s="24" t="s">
        <v>115</v>
      </c>
    </row>
    <row r="12" spans="1:20" ht="33" customHeight="1" x14ac:dyDescent="0.35">
      <c r="A12">
        <v>3</v>
      </c>
      <c r="B12" s="6" t="s">
        <v>108</v>
      </c>
      <c r="C12" s="8" t="s">
        <v>81</v>
      </c>
      <c r="D12" s="3">
        <v>3</v>
      </c>
      <c r="E12" s="3">
        <v>2.9</v>
      </c>
      <c r="F12" s="3">
        <v>3.2</v>
      </c>
      <c r="G12" s="3">
        <v>2.9</v>
      </c>
      <c r="H12" s="3">
        <v>2.8</v>
      </c>
      <c r="I12" s="3">
        <v>3.3</v>
      </c>
      <c r="J12" s="3">
        <v>3.5</v>
      </c>
      <c r="K12" s="3">
        <v>3.4</v>
      </c>
      <c r="L12" s="3">
        <v>3.1</v>
      </c>
      <c r="M12" s="3">
        <v>3.3</v>
      </c>
      <c r="N12" s="3">
        <v>3.6</v>
      </c>
      <c r="O12" s="21" t="s">
        <v>227</v>
      </c>
      <c r="P12" s="3">
        <f>N12-M12</f>
        <v>0.30000000000000027</v>
      </c>
      <c r="Q12" s="14"/>
      <c r="R12" s="3" t="s">
        <v>236</v>
      </c>
      <c r="S12" s="26" t="s">
        <v>237</v>
      </c>
    </row>
    <row r="13" spans="1:20" ht="33" customHeight="1" x14ac:dyDescent="0.35">
      <c r="A13">
        <v>10</v>
      </c>
      <c r="B13" s="6" t="s">
        <v>133</v>
      </c>
      <c r="C13" s="8" t="s">
        <v>238</v>
      </c>
      <c r="D13" s="3">
        <v>30.4244950782739</v>
      </c>
      <c r="E13" s="3">
        <v>31.927841139807299</v>
      </c>
      <c r="F13" s="3">
        <v>33.204308339230501</v>
      </c>
      <c r="G13" s="3">
        <v>36.467228902899897</v>
      </c>
      <c r="H13" s="3">
        <v>39.183740866552398</v>
      </c>
      <c r="I13" s="3">
        <v>42.026978432775401</v>
      </c>
      <c r="J13" s="3">
        <v>41.040208566404097</v>
      </c>
      <c r="K13" s="3">
        <v>40.667516587202996</v>
      </c>
      <c r="L13" s="3">
        <v>42.140304413961601</v>
      </c>
      <c r="M13" s="3">
        <v>43.1131234883471</v>
      </c>
      <c r="N13" s="3">
        <v>52.919138830669198</v>
      </c>
      <c r="O13" s="21" t="s">
        <v>227</v>
      </c>
      <c r="P13" s="3">
        <f>N13-M13</f>
        <v>9.8060153423220981</v>
      </c>
      <c r="Q13" s="13"/>
      <c r="R13" s="3" t="s">
        <v>45</v>
      </c>
      <c r="S13" s="26" t="s">
        <v>239</v>
      </c>
    </row>
    <row r="14" spans="1:20" ht="33" customHeight="1" x14ac:dyDescent="0.35">
      <c r="A14">
        <v>8</v>
      </c>
      <c r="B14" s="6" t="s">
        <v>216</v>
      </c>
      <c r="C14" s="8" t="s">
        <v>240</v>
      </c>
      <c r="D14" s="10">
        <v>0.62</v>
      </c>
      <c r="E14" s="10">
        <v>0.61099999999999999</v>
      </c>
      <c r="F14" s="10">
        <v>0.61</v>
      </c>
      <c r="G14" s="10">
        <v>0.628</v>
      </c>
      <c r="H14" s="10">
        <v>0.62709999999999999</v>
      </c>
      <c r="I14" s="10">
        <v>0.60299999999999998</v>
      </c>
      <c r="J14" s="10">
        <v>0.59399999999999997</v>
      </c>
      <c r="K14" s="10">
        <v>0.63200000000000001</v>
      </c>
      <c r="L14" s="10">
        <v>0.63200000000000001</v>
      </c>
      <c r="M14" s="3" t="s">
        <v>188</v>
      </c>
      <c r="N14" s="10">
        <v>0.65200000000000002</v>
      </c>
      <c r="O14" s="10">
        <v>0.629</v>
      </c>
      <c r="P14" s="9">
        <f>O14-N14</f>
        <v>-2.300000000000002E-2</v>
      </c>
      <c r="Q14" s="14"/>
      <c r="R14" s="3" t="s">
        <v>217</v>
      </c>
      <c r="S14" s="24" t="s">
        <v>218</v>
      </c>
    </row>
    <row r="15" spans="1:20" x14ac:dyDescent="0.35">
      <c r="B15" s="27" t="s">
        <v>241</v>
      </c>
    </row>
    <row r="16" spans="1:20" x14ac:dyDescent="0.35">
      <c r="B16" s="27" t="s">
        <v>242</v>
      </c>
    </row>
  </sheetData>
  <mergeCells count="1">
    <mergeCell ref="D10:O10"/>
  </mergeCells>
  <hyperlinks>
    <hyperlink ref="S5" r:id="rId1"/>
    <hyperlink ref="S9" r:id="rId2"/>
    <hyperlink ref="S12" r:id="rId3"/>
    <hyperlink ref="S11" r:id="rId4"/>
    <hyperlink ref="S13" r:id="rId5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7"/>
  <sheetViews>
    <sheetView topLeftCell="A16" workbookViewId="0">
      <selection activeCell="H36" sqref="H36:H47"/>
    </sheetView>
  </sheetViews>
  <sheetFormatPr baseColWidth="10" defaultColWidth="11.453125" defaultRowHeight="14.5" x14ac:dyDescent="0.35"/>
  <cols>
    <col min="2" max="2" width="12.7265625" bestFit="1" customWidth="1"/>
    <col min="3" max="3" width="13.453125" bestFit="1" customWidth="1"/>
  </cols>
  <sheetData>
    <row r="2" spans="1:28" x14ac:dyDescent="0.35">
      <c r="B2" t="s">
        <v>243</v>
      </c>
      <c r="C2" t="s">
        <v>244</v>
      </c>
      <c r="D2" t="s">
        <v>245</v>
      </c>
      <c r="E2" t="s">
        <v>246</v>
      </c>
      <c r="F2" t="s">
        <v>247</v>
      </c>
      <c r="G2" t="s">
        <v>248</v>
      </c>
      <c r="H2" t="s">
        <v>249</v>
      </c>
      <c r="I2" t="s">
        <v>250</v>
      </c>
      <c r="J2" t="s">
        <v>251</v>
      </c>
      <c r="K2" t="s">
        <v>252</v>
      </c>
      <c r="L2" t="s">
        <v>253</v>
      </c>
      <c r="M2" t="s">
        <v>254</v>
      </c>
      <c r="N2" t="s">
        <v>255</v>
      </c>
      <c r="O2" t="s">
        <v>256</v>
      </c>
      <c r="P2" t="s">
        <v>257</v>
      </c>
      <c r="Q2" t="s">
        <v>258</v>
      </c>
      <c r="R2" t="s">
        <v>259</v>
      </c>
      <c r="S2" t="s">
        <v>260</v>
      </c>
      <c r="T2" t="s">
        <v>261</v>
      </c>
      <c r="U2" t="s">
        <v>262</v>
      </c>
      <c r="V2" t="s">
        <v>263</v>
      </c>
      <c r="W2" t="s">
        <v>264</v>
      </c>
      <c r="X2" t="s">
        <v>265</v>
      </c>
      <c r="Y2" t="s">
        <v>266</v>
      </c>
      <c r="Z2" t="s">
        <v>267</v>
      </c>
      <c r="AA2" t="s">
        <v>268</v>
      </c>
      <c r="AB2" t="s">
        <v>67</v>
      </c>
    </row>
    <row r="3" spans="1:28" x14ac:dyDescent="0.35">
      <c r="A3">
        <v>2000</v>
      </c>
    </row>
    <row r="4" spans="1:28" x14ac:dyDescent="0.35">
      <c r="A4">
        <v>2001</v>
      </c>
      <c r="B4">
        <f t="shared" ref="B4:B11" si="0">D4+F4+H4+I4+J4+K4+L4+N4+R4+S4+U4+W4+X4+AA4</f>
        <v>49528.454196006984</v>
      </c>
      <c r="C4">
        <f>E4+G4+M4+O4+P4+Q4+T4+V4+Y4+Z4</f>
        <v>154576.06689078038</v>
      </c>
      <c r="D4">
        <v>1244.8208598032452</v>
      </c>
      <c r="E4">
        <v>11265.601934618853</v>
      </c>
      <c r="F4">
        <v>1291.712449754348</v>
      </c>
      <c r="G4">
        <v>10952.123447405906</v>
      </c>
      <c r="H4">
        <v>2081.7025895007878</v>
      </c>
      <c r="I4">
        <v>6814.5351804654165</v>
      </c>
      <c r="J4">
        <v>6814.3249713413952</v>
      </c>
      <c r="K4">
        <v>2181.8894964906576</v>
      </c>
      <c r="L4">
        <v>2600.361638523088</v>
      </c>
      <c r="M4">
        <v>5464.4277337237772</v>
      </c>
      <c r="N4">
        <v>6995.2423189113542</v>
      </c>
      <c r="O4">
        <v>9254.7692003773682</v>
      </c>
      <c r="P4">
        <v>5239.1413883640125</v>
      </c>
      <c r="Q4">
        <v>93422.28668635909</v>
      </c>
      <c r="R4">
        <v>5425.6075944905097</v>
      </c>
      <c r="S4">
        <v>1217.6972793377463</v>
      </c>
      <c r="T4">
        <v>5355.9896083347357</v>
      </c>
      <c r="U4">
        <v>3971.9587581232536</v>
      </c>
      <c r="V4">
        <v>8625.6522171900797</v>
      </c>
      <c r="W4">
        <v>4451.1222628657915</v>
      </c>
      <c r="X4">
        <v>2253.0756066307954</v>
      </c>
      <c r="Y4">
        <v>3822.8650996078359</v>
      </c>
      <c r="Z4">
        <v>1173.2095747987348</v>
      </c>
      <c r="AA4">
        <v>2184.4031897685827</v>
      </c>
      <c r="AB4">
        <v>204104.52108678734</v>
      </c>
    </row>
    <row r="5" spans="1:28" x14ac:dyDescent="0.35">
      <c r="A5">
        <v>2002</v>
      </c>
      <c r="B5">
        <f t="shared" si="0"/>
        <v>51627.742400369636</v>
      </c>
      <c r="C5">
        <f t="shared" ref="C5:C24" si="1">E5+G5+M5+O5+P5+Q5+T5+V5+Y5+Z5</f>
        <v>163587.53906398892</v>
      </c>
      <c r="D5">
        <v>1306.3024793988454</v>
      </c>
      <c r="E5">
        <v>13214.013609859066</v>
      </c>
      <c r="F5">
        <v>1365.9555321291507</v>
      </c>
      <c r="G5">
        <v>11878.425277277471</v>
      </c>
      <c r="H5">
        <v>2124.6692611479152</v>
      </c>
      <c r="I5">
        <v>7522.7225749211721</v>
      </c>
      <c r="J5">
        <v>6537.668331563973</v>
      </c>
      <c r="K5">
        <v>2146.5178329758483</v>
      </c>
      <c r="L5">
        <v>2654.5258049391759</v>
      </c>
      <c r="M5">
        <v>5822.5943350512889</v>
      </c>
      <c r="N5">
        <v>7204.2927527833954</v>
      </c>
      <c r="O5">
        <v>9855.0095812323434</v>
      </c>
      <c r="P5">
        <v>5495.5667160958774</v>
      </c>
      <c r="Q5">
        <v>97009.632184661503</v>
      </c>
      <c r="R5">
        <v>5690.5421035283898</v>
      </c>
      <c r="S5">
        <v>1336.3466895979609</v>
      </c>
      <c r="T5">
        <v>6242.1190164515347</v>
      </c>
      <c r="U5">
        <v>4333.5054774604814</v>
      </c>
      <c r="V5">
        <v>8872.3903834469329</v>
      </c>
      <c r="W5">
        <v>4781.6111811543251</v>
      </c>
      <c r="X5">
        <v>2331.3412865178084</v>
      </c>
      <c r="Y5">
        <v>3976.2655556653926</v>
      </c>
      <c r="Z5">
        <v>1221.5224042475131</v>
      </c>
      <c r="AA5">
        <v>2291.7410922512017</v>
      </c>
      <c r="AB5">
        <v>215215.28146435859</v>
      </c>
    </row>
    <row r="6" spans="1:28" x14ac:dyDescent="0.35">
      <c r="A6">
        <v>2003</v>
      </c>
      <c r="B6">
        <f t="shared" si="0"/>
        <v>53726.437982119693</v>
      </c>
      <c r="C6">
        <f t="shared" si="1"/>
        <v>169962.65621725089</v>
      </c>
      <c r="D6">
        <v>1375.6566921987874</v>
      </c>
      <c r="E6">
        <v>13494.860650842718</v>
      </c>
      <c r="F6">
        <v>1434.6764017653318</v>
      </c>
      <c r="G6">
        <v>12297.650901892579</v>
      </c>
      <c r="H6">
        <v>2237.7820811265424</v>
      </c>
      <c r="I6">
        <v>8179.3261636300203</v>
      </c>
      <c r="J6">
        <v>6942.4462845463404</v>
      </c>
      <c r="K6">
        <v>2207.7810245464448</v>
      </c>
      <c r="L6">
        <v>2902.3688313780081</v>
      </c>
      <c r="M6">
        <v>6022.4631702678798</v>
      </c>
      <c r="N6">
        <v>7355.8314252260634</v>
      </c>
      <c r="O6">
        <v>10507.826245885131</v>
      </c>
      <c r="P6">
        <v>5717.1491447936241</v>
      </c>
      <c r="Q6">
        <v>100548.51451729203</v>
      </c>
      <c r="R6">
        <v>5818.4588669757122</v>
      </c>
      <c r="S6">
        <v>1335.6357687934033</v>
      </c>
      <c r="T6">
        <v>6693.7303493182844</v>
      </c>
      <c r="U6">
        <v>4318.211055676561</v>
      </c>
      <c r="V6">
        <v>9172.7349210355787</v>
      </c>
      <c r="W6">
        <v>4831.978617013473</v>
      </c>
      <c r="X6">
        <v>2411.3049571451834</v>
      </c>
      <c r="Y6">
        <v>4231.1637785531084</v>
      </c>
      <c r="Z6">
        <v>1276.5625373699474</v>
      </c>
      <c r="AA6">
        <v>2374.9798120978166</v>
      </c>
      <c r="AB6">
        <v>223689.09419937056</v>
      </c>
    </row>
    <row r="7" spans="1:28" x14ac:dyDescent="0.35">
      <c r="A7">
        <v>2004</v>
      </c>
      <c r="B7">
        <f t="shared" si="0"/>
        <v>56826.329919917785</v>
      </c>
      <c r="C7">
        <f t="shared" si="1"/>
        <v>177963.47136612446</v>
      </c>
      <c r="D7">
        <v>1445.2220740915527</v>
      </c>
      <c r="E7">
        <v>13878.245943345149</v>
      </c>
      <c r="F7">
        <v>1515.7216633104315</v>
      </c>
      <c r="G7">
        <v>12971.63156767542</v>
      </c>
      <c r="H7">
        <v>2221.2914675101147</v>
      </c>
      <c r="I7">
        <v>8295.5305499644328</v>
      </c>
      <c r="J7">
        <v>8183.344818145074</v>
      </c>
      <c r="K7">
        <v>2239.4286775269147</v>
      </c>
      <c r="L7">
        <v>2984.5507128169111</v>
      </c>
      <c r="M7">
        <v>6554.4419350460503</v>
      </c>
      <c r="N7">
        <v>7814.0959289836874</v>
      </c>
      <c r="O7">
        <v>10437.281835694092</v>
      </c>
      <c r="P7">
        <v>5461.2375233542016</v>
      </c>
      <c r="Q7">
        <v>105695.83583968491</v>
      </c>
      <c r="R7">
        <v>6025.609150432103</v>
      </c>
      <c r="S7">
        <v>1469.8718946012389</v>
      </c>
      <c r="T7">
        <v>7196.3481229125509</v>
      </c>
      <c r="U7">
        <v>4480.6293897641372</v>
      </c>
      <c r="V7">
        <v>9921.999141314187</v>
      </c>
      <c r="W7">
        <v>4963.9071515502983</v>
      </c>
      <c r="X7">
        <v>2612.9261234077117</v>
      </c>
      <c r="Y7">
        <v>4479.6893717530656</v>
      </c>
      <c r="Z7">
        <v>1366.7600853448334</v>
      </c>
      <c r="AA7">
        <v>2574.200317813184</v>
      </c>
      <c r="AB7">
        <v>234789.80128604223</v>
      </c>
    </row>
    <row r="8" spans="1:28" x14ac:dyDescent="0.35">
      <c r="A8">
        <v>2005</v>
      </c>
      <c r="B8">
        <f t="shared" si="0"/>
        <v>59950.333562927066</v>
      </c>
      <c r="C8">
        <f t="shared" si="1"/>
        <v>190200.40101518616</v>
      </c>
      <c r="D8">
        <v>1546.4174447308235</v>
      </c>
      <c r="E8">
        <v>14317.298254156649</v>
      </c>
      <c r="F8">
        <v>1627.9337302664956</v>
      </c>
      <c r="G8">
        <v>13861.698752225764</v>
      </c>
      <c r="H8">
        <v>2423.3954672444206</v>
      </c>
      <c r="I8">
        <v>8904.2098123393098</v>
      </c>
      <c r="J8">
        <v>8904.7325139308668</v>
      </c>
      <c r="K8">
        <v>2399.7229640477299</v>
      </c>
      <c r="L8">
        <v>3053.3918987851839</v>
      </c>
      <c r="M8">
        <v>7425.0059052646729</v>
      </c>
      <c r="N8">
        <v>7829.6964151478296</v>
      </c>
      <c r="O8">
        <v>11475.416672621714</v>
      </c>
      <c r="P8">
        <v>5900.9474223412135</v>
      </c>
      <c r="Q8">
        <v>113007.90612603894</v>
      </c>
      <c r="R8">
        <v>6288.4826397916677</v>
      </c>
      <c r="S8">
        <v>1618.296690859868</v>
      </c>
      <c r="T8">
        <v>7514.503380272331</v>
      </c>
      <c r="U8">
        <v>4529.7824574871602</v>
      </c>
      <c r="V8">
        <v>10484.944539702819</v>
      </c>
      <c r="W8">
        <v>5224.1445947249176</v>
      </c>
      <c r="X8">
        <v>2847.5140022307028</v>
      </c>
      <c r="Y8">
        <v>4651.4717884181528</v>
      </c>
      <c r="Z8">
        <v>1561.2081741438867</v>
      </c>
      <c r="AA8">
        <v>2752.6129313400907</v>
      </c>
      <c r="AB8">
        <v>250150.73457811325</v>
      </c>
    </row>
    <row r="9" spans="1:28" x14ac:dyDescent="0.35">
      <c r="A9">
        <v>2006</v>
      </c>
      <c r="B9">
        <f t="shared" si="0"/>
        <v>63830.522971454688</v>
      </c>
      <c r="C9">
        <f t="shared" si="1"/>
        <v>205480.14595248576</v>
      </c>
      <c r="D9">
        <v>1653.6407331106836</v>
      </c>
      <c r="E9">
        <v>14661.601733947286</v>
      </c>
      <c r="F9">
        <v>1774.9588724290616</v>
      </c>
      <c r="G9">
        <v>14700.275668609642</v>
      </c>
      <c r="H9">
        <v>2649.4990262783103</v>
      </c>
      <c r="I9">
        <v>8815.2615064610691</v>
      </c>
      <c r="J9">
        <v>9958.8715090927453</v>
      </c>
      <c r="K9">
        <v>2547.1717129970075</v>
      </c>
      <c r="L9">
        <v>3125.8649348646813</v>
      </c>
      <c r="M9">
        <v>8049.1275427441597</v>
      </c>
      <c r="N9">
        <v>8682.23082816858</v>
      </c>
      <c r="O9">
        <v>13264.048547523715</v>
      </c>
      <c r="P9">
        <v>6219.6349250319108</v>
      </c>
      <c r="Q9">
        <v>123166.99972125956</v>
      </c>
      <c r="R9">
        <v>6615.8420072720428</v>
      </c>
      <c r="S9">
        <v>1681.6519302584918</v>
      </c>
      <c r="T9">
        <v>7548.3865635160391</v>
      </c>
      <c r="U9">
        <v>4910.0882708842601</v>
      </c>
      <c r="V9">
        <v>11516.011931978728</v>
      </c>
      <c r="W9">
        <v>5487.3682292662361</v>
      </c>
      <c r="X9">
        <v>2995.7892731769525</v>
      </c>
      <c r="Y9">
        <v>4846.1074534061145</v>
      </c>
      <c r="Z9">
        <v>1507.9518644686109</v>
      </c>
      <c r="AA9">
        <v>2932.2841371945747</v>
      </c>
      <c r="AB9">
        <v>269310.66892394051</v>
      </c>
    </row>
    <row r="10" spans="1:28" x14ac:dyDescent="0.35">
      <c r="A10">
        <v>2007</v>
      </c>
      <c r="B10">
        <f t="shared" si="0"/>
        <v>67039.784</v>
      </c>
      <c r="C10">
        <f t="shared" si="1"/>
        <v>226150.038</v>
      </c>
      <c r="D10">
        <v>1778.7750000000001</v>
      </c>
      <c r="E10">
        <v>15672.771000000001</v>
      </c>
      <c r="F10">
        <v>1824.181</v>
      </c>
      <c r="G10">
        <v>16991.830999999998</v>
      </c>
      <c r="H10">
        <v>2975.6759999999999</v>
      </c>
      <c r="I10">
        <v>8159.4989999999998</v>
      </c>
      <c r="J10">
        <v>10913.725</v>
      </c>
      <c r="K10">
        <v>2475.279</v>
      </c>
      <c r="L10">
        <v>3200.8609999999999</v>
      </c>
      <c r="M10">
        <v>8793.9560000000001</v>
      </c>
      <c r="N10">
        <v>9240.4349999999995</v>
      </c>
      <c r="O10">
        <v>14615.611999999999</v>
      </c>
      <c r="P10">
        <v>6880.0230000000001</v>
      </c>
      <c r="Q10">
        <v>136238.70300000001</v>
      </c>
      <c r="R10">
        <v>6910.9639999999999</v>
      </c>
      <c r="S10">
        <v>1864.5429999999999</v>
      </c>
      <c r="T10">
        <v>7525.1</v>
      </c>
      <c r="U10">
        <v>5486.4589999999998</v>
      </c>
      <c r="V10">
        <v>12651.72</v>
      </c>
      <c r="W10">
        <v>5888.4740000000002</v>
      </c>
      <c r="X10">
        <v>3266.2539999999999</v>
      </c>
      <c r="Y10">
        <v>5143.1369999999997</v>
      </c>
      <c r="Z10">
        <v>1637.1849999999999</v>
      </c>
      <c r="AA10">
        <v>3054.6590000000001</v>
      </c>
      <c r="AB10">
        <v>293189.82199999999</v>
      </c>
    </row>
    <row r="11" spans="1:28" x14ac:dyDescent="0.35">
      <c r="A11">
        <v>2008</v>
      </c>
      <c r="B11">
        <f t="shared" si="0"/>
        <v>71889.599000000002</v>
      </c>
      <c r="C11">
        <f t="shared" si="1"/>
        <v>246901.25700000004</v>
      </c>
      <c r="D11">
        <v>1930.9469999999999</v>
      </c>
      <c r="E11">
        <v>16854.588</v>
      </c>
      <c r="F11">
        <v>1688.5640000000001</v>
      </c>
      <c r="G11">
        <v>18885.807000000001</v>
      </c>
      <c r="H11">
        <v>3401.1750000000002</v>
      </c>
      <c r="I11">
        <v>9319.7690000000002</v>
      </c>
      <c r="J11">
        <v>11663.686</v>
      </c>
      <c r="K11">
        <v>2613.85</v>
      </c>
      <c r="L11">
        <v>3464.1320000000001</v>
      </c>
      <c r="M11">
        <v>10415.637000000001</v>
      </c>
      <c r="N11">
        <v>10023.855</v>
      </c>
      <c r="O11">
        <v>15653.800999999999</v>
      </c>
      <c r="P11">
        <v>7512.5219999999999</v>
      </c>
      <c r="Q11">
        <v>148415.981</v>
      </c>
      <c r="R11">
        <v>7324.982</v>
      </c>
      <c r="S11">
        <v>1902.1769999999999</v>
      </c>
      <c r="T11">
        <v>8663.6190000000006</v>
      </c>
      <c r="U11">
        <v>5416.732</v>
      </c>
      <c r="V11">
        <v>13580.502</v>
      </c>
      <c r="W11">
        <v>6328.4549999999999</v>
      </c>
      <c r="X11">
        <v>3598.4319999999998</v>
      </c>
      <c r="Y11">
        <v>5016.741</v>
      </c>
      <c r="Z11">
        <v>1902.059</v>
      </c>
      <c r="AA11">
        <v>3212.8429999999998</v>
      </c>
      <c r="AB11">
        <v>318790.85600000003</v>
      </c>
    </row>
    <row r="12" spans="1:28" x14ac:dyDescent="0.35">
      <c r="A12">
        <v>2009</v>
      </c>
      <c r="B12">
        <f>D12+F12+H12+I12+J12+K12+L12+N12+R12+S12+U12+W12+X12+AA12</f>
        <v>74371.309000000008</v>
      </c>
      <c r="C12">
        <f t="shared" si="1"/>
        <v>248152.34300000002</v>
      </c>
      <c r="D12">
        <v>2058.3180000000002</v>
      </c>
      <c r="E12">
        <v>16400.826000000001</v>
      </c>
      <c r="F12">
        <v>1623.8009999999999</v>
      </c>
      <c r="G12">
        <v>19032.478999999999</v>
      </c>
      <c r="H12">
        <v>3750.4009999999998</v>
      </c>
      <c r="I12">
        <v>10050.467000000001</v>
      </c>
      <c r="J12">
        <v>13631.82</v>
      </c>
      <c r="K12">
        <v>2696.0949999999998</v>
      </c>
      <c r="L12">
        <v>3499.7979999999998</v>
      </c>
      <c r="M12">
        <v>10841.974</v>
      </c>
      <c r="N12">
        <v>9039.0769999999993</v>
      </c>
      <c r="O12">
        <v>15716.171</v>
      </c>
      <c r="P12">
        <v>7910.3620000000001</v>
      </c>
      <c r="Q12">
        <v>148910.13800000001</v>
      </c>
      <c r="R12">
        <v>7374.9350000000004</v>
      </c>
      <c r="S12">
        <v>2033.4110000000001</v>
      </c>
      <c r="T12">
        <v>8436.3029999999999</v>
      </c>
      <c r="U12">
        <v>5040.9459999999999</v>
      </c>
      <c r="V12">
        <v>13998.851000000001</v>
      </c>
      <c r="W12">
        <v>6587.8729999999996</v>
      </c>
      <c r="X12">
        <v>3740.6</v>
      </c>
      <c r="Y12">
        <v>4823.192</v>
      </c>
      <c r="Z12">
        <v>2082.047</v>
      </c>
      <c r="AA12">
        <v>3243.7669999999998</v>
      </c>
      <c r="AB12">
        <v>322523.65200000006</v>
      </c>
    </row>
    <row r="13" spans="1:28" x14ac:dyDescent="0.35">
      <c r="A13">
        <v>2010</v>
      </c>
      <c r="B13">
        <f t="shared" ref="B13:B24" si="2">D13+F13+H13+I13+J13+K13+L13+N13+R13+S13+U13+W13+X13+AA13</f>
        <v>78725.262000000017</v>
      </c>
      <c r="C13">
        <f t="shared" si="1"/>
        <v>268688.81</v>
      </c>
      <c r="D13">
        <v>2210.6819999999998</v>
      </c>
      <c r="E13">
        <v>16013.215</v>
      </c>
      <c r="F13">
        <v>1765.7439999999999</v>
      </c>
      <c r="G13">
        <v>20158.733</v>
      </c>
      <c r="H13">
        <v>3922.5140000000001</v>
      </c>
      <c r="I13">
        <v>10140.905000000001</v>
      </c>
      <c r="J13">
        <v>15405.459000000001</v>
      </c>
      <c r="K13">
        <v>2817.5360000000001</v>
      </c>
      <c r="L13">
        <v>3739.0819999999999</v>
      </c>
      <c r="M13">
        <v>11607.992</v>
      </c>
      <c r="N13">
        <v>9518.6589999999997</v>
      </c>
      <c r="O13">
        <v>16624.855</v>
      </c>
      <c r="P13">
        <v>8449.884</v>
      </c>
      <c r="Q13">
        <v>164623.842</v>
      </c>
      <c r="R13">
        <v>7906.9430000000002</v>
      </c>
      <c r="S13">
        <v>2229.1799999999998</v>
      </c>
      <c r="T13">
        <v>8457.0079999999998</v>
      </c>
      <c r="U13">
        <v>4702.4030000000002</v>
      </c>
      <c r="V13">
        <v>15106.528</v>
      </c>
      <c r="W13">
        <v>6980.4790000000003</v>
      </c>
      <c r="X13">
        <v>4034.3609999999999</v>
      </c>
      <c r="Y13">
        <v>5338.8789999999999</v>
      </c>
      <c r="Z13">
        <v>2307.8739999999998</v>
      </c>
      <c r="AA13">
        <v>3351.3150000000001</v>
      </c>
      <c r="AB13">
        <v>347414.07199999999</v>
      </c>
    </row>
    <row r="14" spans="1:28" x14ac:dyDescent="0.35">
      <c r="A14">
        <v>2011</v>
      </c>
      <c r="B14">
        <f t="shared" si="2"/>
        <v>83006.11</v>
      </c>
      <c r="C14">
        <f t="shared" si="1"/>
        <v>286924.69700000004</v>
      </c>
      <c r="D14">
        <v>2287.107</v>
      </c>
      <c r="E14">
        <v>16155.687</v>
      </c>
      <c r="F14">
        <v>1869.4169999999999</v>
      </c>
      <c r="G14">
        <v>21038.812999999998</v>
      </c>
      <c r="H14">
        <v>4111.3490000000002</v>
      </c>
      <c r="I14">
        <v>10595.496999999999</v>
      </c>
      <c r="J14">
        <v>17384.466</v>
      </c>
      <c r="K14">
        <v>2909.2150000000001</v>
      </c>
      <c r="L14">
        <v>3955.5889999999999</v>
      </c>
      <c r="M14">
        <v>12883.432000000001</v>
      </c>
      <c r="N14">
        <v>10009.485000000001</v>
      </c>
      <c r="O14">
        <v>17378.414000000001</v>
      </c>
      <c r="P14">
        <v>8937.7919999999995</v>
      </c>
      <c r="Q14">
        <v>178742.87599999999</v>
      </c>
      <c r="R14">
        <v>7608.8890000000001</v>
      </c>
      <c r="S14">
        <v>2454.9989999999998</v>
      </c>
      <c r="T14">
        <v>7785.2690000000002</v>
      </c>
      <c r="U14">
        <v>4641.8869999999997</v>
      </c>
      <c r="V14">
        <v>16366.999</v>
      </c>
      <c r="W14">
        <v>7384.5050000000001</v>
      </c>
      <c r="X14">
        <v>4245.5370000000003</v>
      </c>
      <c r="Y14">
        <v>5466.509</v>
      </c>
      <c r="Z14">
        <v>2168.9059999999999</v>
      </c>
      <c r="AA14">
        <v>3548.1680000000001</v>
      </c>
      <c r="AB14">
        <v>369930.80700000015</v>
      </c>
    </row>
    <row r="15" spans="1:28" x14ac:dyDescent="0.35">
      <c r="A15">
        <v>2012</v>
      </c>
      <c r="B15">
        <f t="shared" si="2"/>
        <v>87781.64499999999</v>
      </c>
      <c r="C15">
        <f t="shared" si="1"/>
        <v>303651.30900000001</v>
      </c>
      <c r="D15">
        <v>2551.6010000000001</v>
      </c>
      <c r="E15">
        <v>17666.947</v>
      </c>
      <c r="F15">
        <v>2110.9079999999999</v>
      </c>
      <c r="G15">
        <v>22033.542000000001</v>
      </c>
      <c r="H15">
        <v>4482.9709999999995</v>
      </c>
      <c r="I15">
        <v>11270.583000000001</v>
      </c>
      <c r="J15">
        <v>17711.331999999999</v>
      </c>
      <c r="K15">
        <v>3143.6610000000001</v>
      </c>
      <c r="L15">
        <v>4380.3100000000004</v>
      </c>
      <c r="M15">
        <v>13067.504999999999</v>
      </c>
      <c r="N15">
        <v>10718.558000000001</v>
      </c>
      <c r="O15">
        <v>18712.792000000001</v>
      </c>
      <c r="P15">
        <v>9782.6720000000005</v>
      </c>
      <c r="Q15">
        <v>189597.321</v>
      </c>
      <c r="R15">
        <v>8212.4220000000005</v>
      </c>
      <c r="S15">
        <v>1950.1389999999999</v>
      </c>
      <c r="T15">
        <v>7756.8</v>
      </c>
      <c r="U15">
        <v>4880.0720000000001</v>
      </c>
      <c r="V15">
        <v>17066.134999999998</v>
      </c>
      <c r="W15">
        <v>7734.4579999999996</v>
      </c>
      <c r="X15">
        <v>4752.1769999999997</v>
      </c>
      <c r="Y15">
        <v>5526.84</v>
      </c>
      <c r="Z15">
        <v>2440.7550000000001</v>
      </c>
      <c r="AA15">
        <v>3882.453</v>
      </c>
      <c r="AB15">
        <v>391432.95400000003</v>
      </c>
    </row>
    <row r="16" spans="1:28" x14ac:dyDescent="0.35">
      <c r="A16">
        <v>2013</v>
      </c>
      <c r="B16">
        <f t="shared" si="2"/>
        <v>93341.52899999998</v>
      </c>
      <c r="C16">
        <f t="shared" si="1"/>
        <v>320192.25399999996</v>
      </c>
      <c r="D16">
        <v>2682.2660000000001</v>
      </c>
      <c r="E16">
        <v>18478.843000000001</v>
      </c>
      <c r="F16">
        <v>2342.674</v>
      </c>
      <c r="G16">
        <v>22629.102999999999</v>
      </c>
      <c r="H16">
        <v>4906.299</v>
      </c>
      <c r="I16">
        <v>11086.928</v>
      </c>
      <c r="J16">
        <v>20708.699000000001</v>
      </c>
      <c r="K16">
        <v>3174.9270000000001</v>
      </c>
      <c r="L16">
        <v>4642.7280000000001</v>
      </c>
      <c r="M16">
        <v>14394.674999999999</v>
      </c>
      <c r="N16">
        <v>11095.513999999999</v>
      </c>
      <c r="O16">
        <v>19532.082999999999</v>
      </c>
      <c r="P16">
        <v>10138.532999999999</v>
      </c>
      <c r="Q16">
        <v>200400.69099999999</v>
      </c>
      <c r="R16">
        <v>8505.6929999999993</v>
      </c>
      <c r="S16">
        <v>2240.0819999999999</v>
      </c>
      <c r="T16">
        <v>8598.6689999999999</v>
      </c>
      <c r="U16">
        <v>4885.8190000000004</v>
      </c>
      <c r="V16">
        <v>17746.781999999999</v>
      </c>
      <c r="W16">
        <v>8294.32</v>
      </c>
      <c r="X16">
        <v>4828.116</v>
      </c>
      <c r="Y16">
        <v>5781.8490000000002</v>
      </c>
      <c r="Z16">
        <v>2491.0259999999998</v>
      </c>
      <c r="AA16">
        <v>3947.4639999999999</v>
      </c>
      <c r="AB16">
        <v>413533.78299999994</v>
      </c>
    </row>
    <row r="17" spans="1:28" x14ac:dyDescent="0.35">
      <c r="A17">
        <v>2014</v>
      </c>
      <c r="B17">
        <f t="shared" si="2"/>
        <v>95561.316000000006</v>
      </c>
      <c r="C17">
        <f t="shared" si="1"/>
        <v>327632.67199999996</v>
      </c>
      <c r="D17">
        <v>2824.6030000000001</v>
      </c>
      <c r="E17">
        <v>16028.264999999999</v>
      </c>
      <c r="F17">
        <v>2437.4340000000002</v>
      </c>
      <c r="G17">
        <v>22773.308000000001</v>
      </c>
      <c r="H17">
        <v>4879.4759999999997</v>
      </c>
      <c r="I17">
        <v>10855.588</v>
      </c>
      <c r="J17">
        <v>20723.580999999998</v>
      </c>
      <c r="K17">
        <v>3281.748</v>
      </c>
      <c r="L17">
        <v>4799.7870000000003</v>
      </c>
      <c r="M17">
        <v>14809.397000000001</v>
      </c>
      <c r="N17">
        <v>12391.582</v>
      </c>
      <c r="O17">
        <v>19821.258000000002</v>
      </c>
      <c r="P17">
        <v>10354.938</v>
      </c>
      <c r="Q17">
        <v>208022.49100000001</v>
      </c>
      <c r="R17">
        <v>8779.3050000000003</v>
      </c>
      <c r="S17">
        <v>1923.155</v>
      </c>
      <c r="T17">
        <v>8371.348</v>
      </c>
      <c r="U17">
        <v>5046.6679999999997</v>
      </c>
      <c r="V17">
        <v>18750.442999999999</v>
      </c>
      <c r="W17">
        <v>8487.3130000000001</v>
      </c>
      <c r="X17">
        <v>5173.3010000000004</v>
      </c>
      <c r="Y17">
        <v>6094.0379999999996</v>
      </c>
      <c r="Z17">
        <v>2607.1860000000001</v>
      </c>
      <c r="AA17">
        <v>3957.7750000000001</v>
      </c>
      <c r="AB17">
        <v>423193.98800000001</v>
      </c>
    </row>
    <row r="18" spans="1:28" x14ac:dyDescent="0.35">
      <c r="A18">
        <v>2015</v>
      </c>
      <c r="B18">
        <f t="shared" si="2"/>
        <v>99531.134000000005</v>
      </c>
      <c r="C18">
        <f t="shared" si="1"/>
        <v>338658.0579999999</v>
      </c>
      <c r="D18">
        <v>2782.1280000000002</v>
      </c>
      <c r="E18">
        <v>17584.620999999999</v>
      </c>
      <c r="F18">
        <v>2630.3449999999998</v>
      </c>
      <c r="G18">
        <v>23524.592000000001</v>
      </c>
      <c r="H18">
        <v>5162.3310000000001</v>
      </c>
      <c r="I18">
        <v>10798.611999999999</v>
      </c>
      <c r="J18">
        <v>21071.851999999999</v>
      </c>
      <c r="K18">
        <v>3265.82</v>
      </c>
      <c r="L18">
        <v>5114.9830000000002</v>
      </c>
      <c r="M18">
        <v>15295.581</v>
      </c>
      <c r="N18">
        <v>14412.891</v>
      </c>
      <c r="O18">
        <v>20274.733</v>
      </c>
      <c r="P18">
        <v>10809.529</v>
      </c>
      <c r="Q18">
        <v>214469.326</v>
      </c>
      <c r="R18">
        <v>8584.5139999999992</v>
      </c>
      <c r="S18">
        <v>2346.81</v>
      </c>
      <c r="T18">
        <v>8693.7469999999994</v>
      </c>
      <c r="U18">
        <v>5211.4059999999999</v>
      </c>
      <c r="V18">
        <v>18866.670999999998</v>
      </c>
      <c r="W18">
        <v>8519.7019999999993</v>
      </c>
      <c r="X18">
        <v>5466.2659999999996</v>
      </c>
      <c r="Y18">
        <v>6598.4030000000002</v>
      </c>
      <c r="Z18">
        <v>2540.855</v>
      </c>
      <c r="AA18">
        <v>4163.4740000000002</v>
      </c>
      <c r="AB18">
        <v>438189.19199999998</v>
      </c>
    </row>
    <row r="19" spans="1:28" x14ac:dyDescent="0.35">
      <c r="A19">
        <v>2016</v>
      </c>
      <c r="B19">
        <f t="shared" si="2"/>
        <v>104064.52799999999</v>
      </c>
      <c r="C19">
        <f t="shared" si="1"/>
        <v>351657.97100000008</v>
      </c>
      <c r="D19">
        <v>2784.366</v>
      </c>
      <c r="E19">
        <v>18365.696</v>
      </c>
      <c r="F19">
        <v>6343.0649999999996</v>
      </c>
      <c r="G19">
        <v>29623.112000000001</v>
      </c>
      <c r="H19">
        <v>5177.9170000000004</v>
      </c>
      <c r="I19">
        <v>10581.305</v>
      </c>
      <c r="J19">
        <v>21898.27</v>
      </c>
      <c r="K19">
        <v>3212.9479999999999</v>
      </c>
      <c r="L19">
        <v>5345.4449999999997</v>
      </c>
      <c r="M19">
        <v>15325.191000000001</v>
      </c>
      <c r="N19">
        <v>14285.221</v>
      </c>
      <c r="O19">
        <v>20448.345000000001</v>
      </c>
      <c r="P19">
        <v>11080.412</v>
      </c>
      <c r="Q19">
        <v>220241.329</v>
      </c>
      <c r="R19">
        <v>7602.2169999999996</v>
      </c>
      <c r="S19">
        <v>2663.6990000000001</v>
      </c>
      <c r="T19">
        <v>8635.5139999999992</v>
      </c>
      <c r="U19">
        <v>5329.3239999999996</v>
      </c>
      <c r="V19">
        <v>18924.868999999999</v>
      </c>
      <c r="W19">
        <v>9075.9989999999998</v>
      </c>
      <c r="X19">
        <v>5588.107</v>
      </c>
      <c r="Y19">
        <v>6506.2479999999996</v>
      </c>
      <c r="Z19">
        <v>2507.2550000000001</v>
      </c>
      <c r="AA19">
        <v>4176.6450000000004</v>
      </c>
      <c r="AB19">
        <v>455722.49900000019</v>
      </c>
    </row>
    <row r="20" spans="1:28" x14ac:dyDescent="0.35">
      <c r="A20">
        <v>2017</v>
      </c>
      <c r="B20">
        <f t="shared" si="2"/>
        <v>108245.14400000001</v>
      </c>
      <c r="C20">
        <f t="shared" si="1"/>
        <v>359513.57</v>
      </c>
      <c r="D20">
        <v>2940.8220000000001</v>
      </c>
      <c r="E20">
        <v>19317.454000000002</v>
      </c>
      <c r="F20">
        <v>7718.5349999999999</v>
      </c>
      <c r="G20">
        <v>30724.796999999999</v>
      </c>
      <c r="H20">
        <v>5451.8540000000003</v>
      </c>
      <c r="I20">
        <v>10901.682000000001</v>
      </c>
      <c r="J20">
        <v>21576.717000000001</v>
      </c>
      <c r="K20">
        <v>3354.9850000000001</v>
      </c>
      <c r="L20">
        <v>5832.1710000000003</v>
      </c>
      <c r="M20">
        <v>16206.741</v>
      </c>
      <c r="N20">
        <v>14954.057000000001</v>
      </c>
      <c r="O20">
        <v>20797.558000000001</v>
      </c>
      <c r="P20">
        <v>11371.483</v>
      </c>
      <c r="Q20">
        <v>224691.97399999999</v>
      </c>
      <c r="R20">
        <v>8087.4440000000004</v>
      </c>
      <c r="S20">
        <v>2409.0500000000002</v>
      </c>
      <c r="T20">
        <v>8696.7039999999997</v>
      </c>
      <c r="U20">
        <v>5333.7550000000001</v>
      </c>
      <c r="V20">
        <v>18473.111000000001</v>
      </c>
      <c r="W20">
        <v>9434.7369999999992</v>
      </c>
      <c r="X20">
        <v>5944.1450000000004</v>
      </c>
      <c r="Y20">
        <v>6584.7150000000001</v>
      </c>
      <c r="Z20">
        <v>2649.0329999999999</v>
      </c>
      <c r="AA20">
        <v>4305.1899999999996</v>
      </c>
      <c r="AB20">
        <v>467758.71400000004</v>
      </c>
    </row>
    <row r="21" spans="1:28" x14ac:dyDescent="0.35">
      <c r="A21">
        <v>2018</v>
      </c>
      <c r="B21">
        <f t="shared" si="2"/>
        <v>110605.12400000001</v>
      </c>
      <c r="C21">
        <f t="shared" si="1"/>
        <v>375750.38400000002</v>
      </c>
      <c r="D21">
        <v>3118.1149999999998</v>
      </c>
      <c r="E21">
        <v>20722.034</v>
      </c>
      <c r="F21">
        <v>7131.22</v>
      </c>
      <c r="G21">
        <v>31507.194</v>
      </c>
      <c r="H21">
        <v>5759.7730000000001</v>
      </c>
      <c r="I21">
        <v>11208.795</v>
      </c>
      <c r="J21">
        <v>21699.792000000001</v>
      </c>
      <c r="K21">
        <v>3525.2860000000001</v>
      </c>
      <c r="L21">
        <v>6009.7420000000002</v>
      </c>
      <c r="M21">
        <v>16985.859</v>
      </c>
      <c r="N21">
        <v>15459.915000000001</v>
      </c>
      <c r="O21">
        <v>21831.798999999999</v>
      </c>
      <c r="P21">
        <v>11835.62</v>
      </c>
      <c r="Q21">
        <v>234432.451</v>
      </c>
      <c r="R21">
        <v>8931.2800000000007</v>
      </c>
      <c r="S21">
        <v>2255.5459999999998</v>
      </c>
      <c r="T21">
        <v>8782.4449999999997</v>
      </c>
      <c r="U21">
        <v>5337.5309999999999</v>
      </c>
      <c r="V21">
        <v>19776.544000000002</v>
      </c>
      <c r="W21">
        <v>9665.67</v>
      </c>
      <c r="X21">
        <v>6062.2160000000003</v>
      </c>
      <c r="Y21">
        <v>7111.2489999999998</v>
      </c>
      <c r="Z21">
        <v>2765.1889999999999</v>
      </c>
      <c r="AA21">
        <v>4440.2430000000004</v>
      </c>
      <c r="AB21">
        <v>486355.50800000003</v>
      </c>
    </row>
    <row r="22" spans="1:28" x14ac:dyDescent="0.35">
      <c r="A22">
        <v>2019</v>
      </c>
      <c r="B22">
        <f t="shared" si="2"/>
        <v>112092.52000000002</v>
      </c>
      <c r="C22">
        <f t="shared" si="1"/>
        <v>384898.82500000001</v>
      </c>
      <c r="D22">
        <v>3169.6329999999998</v>
      </c>
      <c r="E22">
        <v>19985.182000000001</v>
      </c>
      <c r="F22">
        <v>7170.1670000000004</v>
      </c>
      <c r="G22">
        <v>31408.989000000001</v>
      </c>
      <c r="H22">
        <v>5925.4340000000002</v>
      </c>
      <c r="I22">
        <v>11483.084999999999</v>
      </c>
      <c r="J22">
        <v>22002.498</v>
      </c>
      <c r="K22">
        <v>3527.402</v>
      </c>
      <c r="L22">
        <v>6078.8040000000001</v>
      </c>
      <c r="M22">
        <v>17655.404999999999</v>
      </c>
      <c r="N22">
        <v>15325.96</v>
      </c>
      <c r="O22">
        <v>22629.942999999999</v>
      </c>
      <c r="P22">
        <v>12114.058999999999</v>
      </c>
      <c r="Q22">
        <v>240557.06899999999</v>
      </c>
      <c r="R22">
        <v>9334.5429999999997</v>
      </c>
      <c r="S22">
        <v>2125.3879999999999</v>
      </c>
      <c r="T22">
        <v>8422.34</v>
      </c>
      <c r="U22">
        <v>5443.2659999999996</v>
      </c>
      <c r="V22">
        <v>20529.216</v>
      </c>
      <c r="W22">
        <v>9797.81</v>
      </c>
      <c r="X22">
        <v>6083.527</v>
      </c>
      <c r="Y22">
        <v>8731.2829999999994</v>
      </c>
      <c r="Z22">
        <v>2865.3389999999999</v>
      </c>
      <c r="AA22">
        <v>4625.0029999999997</v>
      </c>
      <c r="AB22">
        <v>496991.34500000003</v>
      </c>
    </row>
    <row r="23" spans="1:28" x14ac:dyDescent="0.35">
      <c r="A23">
        <v>2020</v>
      </c>
      <c r="B23">
        <f t="shared" si="2"/>
        <v>99638.014999999999</v>
      </c>
      <c r="C23">
        <f t="shared" si="1"/>
        <v>342514.98100000003</v>
      </c>
      <c r="D23">
        <v>3035.2620000000002</v>
      </c>
      <c r="E23">
        <v>18742.617999999999</v>
      </c>
      <c r="F23">
        <v>6481.1329999999998</v>
      </c>
      <c r="G23">
        <v>26467.083999999999</v>
      </c>
      <c r="H23">
        <v>5164.402</v>
      </c>
      <c r="I23">
        <v>10348.5</v>
      </c>
      <c r="J23">
        <v>19289.405999999999</v>
      </c>
      <c r="K23">
        <v>3292.0549999999998</v>
      </c>
      <c r="L23">
        <v>5407.375</v>
      </c>
      <c r="M23">
        <v>15679.321</v>
      </c>
      <c r="N23">
        <v>13905.793</v>
      </c>
      <c r="O23">
        <v>21217.757000000001</v>
      </c>
      <c r="P23">
        <v>11328.57</v>
      </c>
      <c r="Q23">
        <v>210887.962</v>
      </c>
      <c r="R23">
        <v>8058.5339999999997</v>
      </c>
      <c r="S23">
        <v>1613.902</v>
      </c>
      <c r="T23">
        <v>8624.9480000000003</v>
      </c>
      <c r="U23">
        <v>4448.8370000000004</v>
      </c>
      <c r="V23">
        <v>18589.356</v>
      </c>
      <c r="W23">
        <v>8690.94</v>
      </c>
      <c r="X23">
        <v>5876.3040000000001</v>
      </c>
      <c r="Y23">
        <v>8510.0059999999994</v>
      </c>
      <c r="Z23">
        <v>2467.3589999999999</v>
      </c>
      <c r="AA23">
        <v>4025.5720000000001</v>
      </c>
      <c r="AB23">
        <v>442152.99599999993</v>
      </c>
    </row>
    <row r="24" spans="1:28" x14ac:dyDescent="0.35">
      <c r="A24">
        <v>2021</v>
      </c>
      <c r="B24">
        <f t="shared" si="2"/>
        <v>114344.93547014474</v>
      </c>
      <c r="C24">
        <f t="shared" si="1"/>
        <v>385405.06592146325</v>
      </c>
      <c r="D24">
        <v>3405.0005666377892</v>
      </c>
      <c r="E24">
        <v>22198.351887461336</v>
      </c>
      <c r="F24">
        <v>6525.7933212804155</v>
      </c>
      <c r="G24">
        <v>31180.350061566256</v>
      </c>
      <c r="H24">
        <v>6280.2461629122718</v>
      </c>
      <c r="I24">
        <v>11909.09877973595</v>
      </c>
      <c r="J24">
        <v>20964.601068744632</v>
      </c>
      <c r="K24">
        <v>3648.1036048443812</v>
      </c>
      <c r="L24">
        <v>6189.9298203171857</v>
      </c>
      <c r="M24">
        <v>19810.758364995207</v>
      </c>
      <c r="N24">
        <v>17031.242010956485</v>
      </c>
      <c r="O24">
        <v>25274.488814222183</v>
      </c>
      <c r="P24">
        <v>13891.992355231325</v>
      </c>
      <c r="Q24">
        <v>228829.90447957249</v>
      </c>
      <c r="R24">
        <v>9746.3863184650982</v>
      </c>
      <c r="S24">
        <v>1819.2255625494495</v>
      </c>
      <c r="T24">
        <v>9444.764702440496</v>
      </c>
      <c r="U24">
        <v>5311.2169145545649</v>
      </c>
      <c r="V24">
        <v>22633.449083711297</v>
      </c>
      <c r="W24">
        <v>10079.405643701899</v>
      </c>
      <c r="X24">
        <v>6642.4930756930862</v>
      </c>
      <c r="Y24">
        <v>9326.2682452515546</v>
      </c>
      <c r="Z24">
        <v>2814.7379270111096</v>
      </c>
      <c r="AA24">
        <v>4792.1926197515404</v>
      </c>
      <c r="AB24">
        <v>499750.00139160804</v>
      </c>
    </row>
    <row r="26" spans="1:28" x14ac:dyDescent="0.35">
      <c r="B26" t="s">
        <v>243</v>
      </c>
      <c r="C26" t="s">
        <v>244</v>
      </c>
      <c r="D26" t="s">
        <v>243</v>
      </c>
      <c r="E26" t="s">
        <v>244</v>
      </c>
      <c r="F26" t="s">
        <v>243</v>
      </c>
      <c r="G26" t="s">
        <v>244</v>
      </c>
      <c r="J26" t="s">
        <v>123</v>
      </c>
    </row>
    <row r="27" spans="1:28" x14ac:dyDescent="0.35">
      <c r="A27">
        <v>2001</v>
      </c>
      <c r="J27" t="s">
        <v>269</v>
      </c>
    </row>
    <row r="28" spans="1:28" x14ac:dyDescent="0.35">
      <c r="A28">
        <v>2002</v>
      </c>
      <c r="B28" s="11">
        <f t="shared" ref="B28:C28" si="3">B5/B4*100-100</f>
        <v>4.23854981634355</v>
      </c>
      <c r="C28" s="11">
        <f t="shared" si="3"/>
        <v>5.829797817003481</v>
      </c>
      <c r="D28" s="11"/>
      <c r="E28" s="11"/>
      <c r="F28" s="11"/>
      <c r="G28" s="11"/>
      <c r="I28">
        <v>2012</v>
      </c>
      <c r="J28">
        <v>431199</v>
      </c>
    </row>
    <row r="29" spans="1:28" x14ac:dyDescent="0.35">
      <c r="A29">
        <v>2003</v>
      </c>
      <c r="B29" s="11">
        <f t="shared" ref="B29:C29" si="4">B6/B5*100-100</f>
        <v>4.0650539500155105</v>
      </c>
      <c r="C29" s="11">
        <f t="shared" si="4"/>
        <v>3.8970677043856483</v>
      </c>
      <c r="D29" s="11"/>
      <c r="E29" s="11"/>
      <c r="F29" s="11"/>
      <c r="G29" s="11"/>
      <c r="I29">
        <v>2013</v>
      </c>
      <c r="J29">
        <v>456435</v>
      </c>
    </row>
    <row r="30" spans="1:28" x14ac:dyDescent="0.35">
      <c r="A30">
        <v>2004</v>
      </c>
      <c r="B30" s="11">
        <f t="shared" ref="B30:C30" si="5">B7/B6*100-100</f>
        <v>5.7697700689365377</v>
      </c>
      <c r="C30" s="11">
        <f t="shared" si="5"/>
        <v>4.7073959226941611</v>
      </c>
      <c r="D30" s="11"/>
      <c r="E30" s="11"/>
      <c r="F30" s="11"/>
      <c r="G30" s="11"/>
      <c r="I30">
        <v>2014</v>
      </c>
      <c r="J30">
        <v>467308</v>
      </c>
    </row>
    <row r="31" spans="1:28" x14ac:dyDescent="0.35">
      <c r="A31">
        <v>2005</v>
      </c>
      <c r="B31" s="11">
        <f t="shared" ref="B31:C31" si="6">B8/B7*100-100</f>
        <v>5.4974580399821207</v>
      </c>
      <c r="C31" s="11">
        <f t="shared" si="6"/>
        <v>6.8760906691276205</v>
      </c>
      <c r="D31" s="11"/>
      <c r="E31" s="11"/>
      <c r="F31" s="11"/>
      <c r="G31" s="11"/>
      <c r="I31">
        <v>2015</v>
      </c>
      <c r="J31">
        <v>482506</v>
      </c>
    </row>
    <row r="32" spans="1:28" x14ac:dyDescent="0.35">
      <c r="A32">
        <v>2006</v>
      </c>
      <c r="B32" s="11">
        <f t="shared" ref="B32:C32" si="7">B9/B8*100-100</f>
        <v>6.4723399819865364</v>
      </c>
      <c r="C32" s="11">
        <f t="shared" si="7"/>
        <v>8.0334977506591088</v>
      </c>
      <c r="D32" s="11">
        <f>B9/B4*100-100</f>
        <v>28.876469107733129</v>
      </c>
      <c r="E32" s="11">
        <f>C9/C4*100-100</f>
        <v>32.931410460632918</v>
      </c>
      <c r="F32" s="11">
        <f>((1+D32%)^(1/5)-1)*100</f>
        <v>5.204599111770758</v>
      </c>
      <c r="G32" s="11">
        <f>((1+E32%)^(1/5)-1)*100</f>
        <v>5.8584480228580871</v>
      </c>
      <c r="H32" s="11">
        <f>F32-G32</f>
        <v>-0.65384891108732912</v>
      </c>
      <c r="I32">
        <v>2016</v>
      </c>
      <c r="J32">
        <v>501581</v>
      </c>
    </row>
    <row r="33" spans="1:13" x14ac:dyDescent="0.35">
      <c r="A33">
        <v>2007</v>
      </c>
      <c r="B33" s="11">
        <f t="shared" ref="B33:C33" si="8">B10/B9*100-100</f>
        <v>5.0277843250328829</v>
      </c>
      <c r="C33" s="11">
        <f t="shared" si="8"/>
        <v>10.059313493136131</v>
      </c>
      <c r="D33" s="11">
        <f t="shared" ref="D33:E33" si="9">B10/B5*100-100</f>
        <v>29.852247809154676</v>
      </c>
      <c r="E33" s="11">
        <f t="shared" si="9"/>
        <v>38.244049206913701</v>
      </c>
      <c r="F33" s="11">
        <f t="shared" ref="F33:F47" si="10">((1+D33%)^(1/5)-1)*100</f>
        <v>5.3634285871307696</v>
      </c>
      <c r="G33" s="11">
        <f t="shared" ref="G33:G47" si="11">((1+E33%)^(1/5)-1)*100</f>
        <v>6.691369347203735</v>
      </c>
      <c r="H33" s="11">
        <f t="shared" ref="H33:H47" si="12">F33-G33</f>
        <v>-1.3279407600729654</v>
      </c>
      <c r="I33">
        <v>2017</v>
      </c>
      <c r="J33">
        <v>514215</v>
      </c>
    </row>
    <row r="34" spans="1:13" x14ac:dyDescent="0.35">
      <c r="A34">
        <v>2008</v>
      </c>
      <c r="B34" s="11">
        <f t="shared" ref="B34:C34" si="13">B11/B10*100-100</f>
        <v>7.2342342272463185</v>
      </c>
      <c r="C34" s="11">
        <f t="shared" si="13"/>
        <v>9.1758635919398017</v>
      </c>
      <c r="D34" s="11">
        <f t="shared" ref="D34:E35" si="14">B11/B6*100-100</f>
        <v>33.806747106378168</v>
      </c>
      <c r="E34" s="11">
        <f t="shared" si="14"/>
        <v>45.267944438573693</v>
      </c>
      <c r="F34" s="11">
        <f t="shared" si="10"/>
        <v>5.9974951779138141</v>
      </c>
      <c r="G34" s="11">
        <f t="shared" si="11"/>
        <v>7.7541383018356003</v>
      </c>
      <c r="H34" s="11">
        <f t="shared" si="12"/>
        <v>-1.7566431239217861</v>
      </c>
      <c r="I34">
        <v>2018</v>
      </c>
      <c r="J34">
        <v>534665</v>
      </c>
    </row>
    <row r="35" spans="1:13" x14ac:dyDescent="0.35">
      <c r="A35">
        <v>2009</v>
      </c>
      <c r="B35" s="11">
        <f t="shared" ref="B35:C35" si="15">B12/B11*100-100</f>
        <v>3.4521127319127203</v>
      </c>
      <c r="C35" s="11">
        <f t="shared" si="15"/>
        <v>0.50671511972090855</v>
      </c>
      <c r="D35" s="11">
        <f t="shared" si="14"/>
        <v>30.874735540386638</v>
      </c>
      <c r="E35" s="11">
        <f t="shared" si="14"/>
        <v>39.440044125390159</v>
      </c>
      <c r="F35" s="11">
        <f t="shared" si="10"/>
        <v>5.5288397889204255</v>
      </c>
      <c r="G35" s="11">
        <f t="shared" si="11"/>
        <v>6.8753382668915286</v>
      </c>
      <c r="H35" s="11">
        <f t="shared" si="12"/>
        <v>-1.3464984779711031</v>
      </c>
      <c r="I35">
        <v>2019</v>
      </c>
      <c r="J35">
        <v>546161</v>
      </c>
    </row>
    <row r="36" spans="1:13" x14ac:dyDescent="0.35">
      <c r="A36">
        <v>2010</v>
      </c>
      <c r="B36" s="11">
        <f t="shared" ref="B36:C36" si="16">B13/B12*100-100</f>
        <v>5.8543449867206334</v>
      </c>
      <c r="C36" s="11">
        <f t="shared" si="16"/>
        <v>8.275749788104946</v>
      </c>
      <c r="D36" s="11">
        <f t="shared" ref="D36:E37" si="17">B13/B8*100-100</f>
        <v>31.31747118198399</v>
      </c>
      <c r="E36" s="11">
        <f t="shared" si="17"/>
        <v>41.266163775620583</v>
      </c>
      <c r="F36" s="11">
        <f t="shared" si="10"/>
        <v>5.6001419924955886</v>
      </c>
      <c r="G36" s="11">
        <f t="shared" si="11"/>
        <v>7.1538131429706775</v>
      </c>
      <c r="H36" s="11">
        <f t="shared" si="12"/>
        <v>-1.5536711504750889</v>
      </c>
      <c r="I36">
        <v>2020</v>
      </c>
      <c r="J36">
        <v>485992.065592709</v>
      </c>
    </row>
    <row r="37" spans="1:13" x14ac:dyDescent="0.35">
      <c r="A37">
        <v>2011</v>
      </c>
      <c r="B37" s="11">
        <f t="shared" ref="B37:C37" si="18">B14/B13*100-100</f>
        <v>5.4377056249110751</v>
      </c>
      <c r="C37" s="11">
        <f t="shared" si="18"/>
        <v>6.786991613085803</v>
      </c>
      <c r="D37" s="11">
        <f t="shared" si="17"/>
        <v>30.041406737527012</v>
      </c>
      <c r="E37" s="11">
        <f t="shared" si="17"/>
        <v>39.636214326199251</v>
      </c>
      <c r="F37" s="11">
        <f t="shared" si="10"/>
        <v>5.3941078097988537</v>
      </c>
      <c r="G37" s="11">
        <f t="shared" si="11"/>
        <v>6.9053927156572881</v>
      </c>
      <c r="H37" s="11">
        <f t="shared" si="12"/>
        <v>-1.5112849058584343</v>
      </c>
      <c r="I37">
        <v>2021</v>
      </c>
      <c r="J37">
        <f>J36*(1+13.3%)</f>
        <v>550629.01031653932</v>
      </c>
      <c r="K37">
        <f>J37/J32*100-100</f>
        <v>9.7786818712310293</v>
      </c>
      <c r="L37">
        <f>(1+K37%)^(1/5)-1</f>
        <v>1.883440534342018E-2</v>
      </c>
      <c r="M37">
        <f>L37*100</f>
        <v>1.883440534342018</v>
      </c>
    </row>
    <row r="38" spans="1:13" x14ac:dyDescent="0.35">
      <c r="A38">
        <v>2012</v>
      </c>
      <c r="B38" s="11">
        <f t="shared" ref="B38:C38" si="19">B15/B14*100-100</f>
        <v>5.7532331053701853</v>
      </c>
      <c r="C38" s="11">
        <f t="shared" si="19"/>
        <v>5.8296173786671233</v>
      </c>
      <c r="D38" s="11">
        <f t="shared" ref="D38:E39" si="20">B15/B10*100-100</f>
        <v>30.939629817423025</v>
      </c>
      <c r="E38" s="11">
        <f t="shared" si="20"/>
        <v>34.26984655204879</v>
      </c>
      <c r="F38" s="11">
        <f t="shared" si="10"/>
        <v>5.5393030152474099</v>
      </c>
      <c r="G38" s="11">
        <f t="shared" si="11"/>
        <v>6.0707643775024689</v>
      </c>
      <c r="H38" s="11">
        <f t="shared" si="12"/>
        <v>-0.53146136225505902</v>
      </c>
      <c r="I38">
        <v>2022</v>
      </c>
      <c r="J38" t="s">
        <v>24</v>
      </c>
    </row>
    <row r="39" spans="1:13" x14ac:dyDescent="0.35">
      <c r="A39">
        <v>2013</v>
      </c>
      <c r="B39" s="11">
        <f t="shared" ref="B39:C39" si="21">B16/B15*100-100</f>
        <v>6.3337660168022438</v>
      </c>
      <c r="C39" s="11">
        <f t="shared" si="21"/>
        <v>5.4473484914237389</v>
      </c>
      <c r="D39" s="11">
        <f t="shared" si="20"/>
        <v>29.840102460440733</v>
      </c>
      <c r="E39" s="11">
        <f t="shared" si="20"/>
        <v>29.684335304943346</v>
      </c>
      <c r="F39" s="11">
        <f t="shared" si="10"/>
        <v>5.3614575416041088</v>
      </c>
      <c r="G39" s="11">
        <f t="shared" si="11"/>
        <v>5.3361653005757237</v>
      </c>
      <c r="H39" s="11">
        <f t="shared" si="12"/>
        <v>2.5292241028385121E-2</v>
      </c>
    </row>
    <row r="40" spans="1:13" x14ac:dyDescent="0.35">
      <c r="A40">
        <v>2014</v>
      </c>
      <c r="B40" s="11">
        <f t="shared" ref="B40:C40" si="22">B17/B16*100-100</f>
        <v>2.3781343886064121</v>
      </c>
      <c r="C40" s="11">
        <f t="shared" si="22"/>
        <v>2.3237345398118237</v>
      </c>
      <c r="D40" s="11">
        <f t="shared" ref="D40:E41" si="23">B17/B12*100-100</f>
        <v>28.492179692574723</v>
      </c>
      <c r="E40" s="11">
        <f t="shared" si="23"/>
        <v>32.028844877761202</v>
      </c>
      <c r="F40" s="11">
        <f t="shared" si="10"/>
        <v>5.1417834220033098</v>
      </c>
      <c r="G40" s="11">
        <f t="shared" si="11"/>
        <v>5.7143064079233641</v>
      </c>
      <c r="H40" s="11">
        <f t="shared" si="12"/>
        <v>-0.57252298592005424</v>
      </c>
    </row>
    <row r="41" spans="1:13" x14ac:dyDescent="0.35">
      <c r="A41">
        <v>2015</v>
      </c>
      <c r="B41" s="11">
        <f t="shared" ref="B41" si="24">B18/B17*100-100</f>
        <v>4.1542102664220266</v>
      </c>
      <c r="C41" s="11">
        <f>C18/C17*100-100</f>
        <v>3.3651668292715016</v>
      </c>
      <c r="D41" s="11">
        <f t="shared" si="23"/>
        <v>26.428456979920867</v>
      </c>
      <c r="E41" s="11">
        <f t="shared" si="23"/>
        <v>26.040998134607804</v>
      </c>
      <c r="F41" s="11">
        <f t="shared" si="10"/>
        <v>4.8018544571505339</v>
      </c>
      <c r="G41" s="11">
        <f t="shared" si="11"/>
        <v>4.7375393876391447</v>
      </c>
      <c r="H41" s="11">
        <f t="shared" si="12"/>
        <v>6.4315069511389211E-2</v>
      </c>
    </row>
    <row r="42" spans="1:13" x14ac:dyDescent="0.35">
      <c r="A42">
        <v>2016</v>
      </c>
      <c r="B42" s="11">
        <f t="shared" ref="B42:C42" si="25">B19/B18*100-100</f>
        <v>4.5547496725999252</v>
      </c>
      <c r="C42" s="11">
        <f t="shared" si="25"/>
        <v>3.8386545640677383</v>
      </c>
      <c r="D42" s="11">
        <f t="shared" ref="D42:E43" si="26">B19/B14*100-100</f>
        <v>25.369720373596593</v>
      </c>
      <c r="E42" s="11">
        <f t="shared" si="26"/>
        <v>22.56106730331409</v>
      </c>
      <c r="F42" s="11">
        <f t="shared" si="10"/>
        <v>4.6257372870296409</v>
      </c>
      <c r="G42" s="11">
        <f t="shared" si="11"/>
        <v>4.1526937659903007</v>
      </c>
      <c r="H42" s="11">
        <f t="shared" si="12"/>
        <v>0.47304352103934022</v>
      </c>
    </row>
    <row r="43" spans="1:13" x14ac:dyDescent="0.35">
      <c r="A43">
        <v>2017</v>
      </c>
      <c r="B43" s="11">
        <f t="shared" ref="B43:C43" si="27">B20/B19*100-100</f>
        <v>4.017330477874296</v>
      </c>
      <c r="C43" s="11">
        <f t="shared" si="27"/>
        <v>2.2338748579084182</v>
      </c>
      <c r="D43" s="11">
        <f t="shared" si="26"/>
        <v>23.311819914060663</v>
      </c>
      <c r="E43" s="11">
        <f t="shared" si="26"/>
        <v>18.396845112892308</v>
      </c>
      <c r="F43" s="11">
        <f t="shared" si="10"/>
        <v>4.2799805466002594</v>
      </c>
      <c r="G43" s="11">
        <f t="shared" si="11"/>
        <v>3.4351208031769387</v>
      </c>
      <c r="H43" s="11">
        <f t="shared" si="12"/>
        <v>0.84485974342332071</v>
      </c>
    </row>
    <row r="44" spans="1:13" x14ac:dyDescent="0.35">
      <c r="A44">
        <v>2018</v>
      </c>
      <c r="B44" s="11">
        <f t="shared" ref="B44:C44" si="28">B21/B20*100-100</f>
        <v>2.1802178950401725</v>
      </c>
      <c r="C44" s="11">
        <f t="shared" si="28"/>
        <v>4.5163285491560288</v>
      </c>
      <c r="D44" s="11">
        <f t="shared" ref="D44:E45" si="29">B21/B16*100-100</f>
        <v>18.495084861958972</v>
      </c>
      <c r="E44" s="11">
        <f t="shared" si="29"/>
        <v>17.351490957679474</v>
      </c>
      <c r="F44" s="11">
        <f t="shared" si="10"/>
        <v>3.4522801614349286</v>
      </c>
      <c r="G44" s="11">
        <f t="shared" si="11"/>
        <v>3.2518215976669262</v>
      </c>
      <c r="H44" s="11">
        <f t="shared" si="12"/>
        <v>0.20045856376800231</v>
      </c>
    </row>
    <row r="45" spans="1:13" x14ac:dyDescent="0.35">
      <c r="A45">
        <v>2019</v>
      </c>
      <c r="B45" s="11">
        <f t="shared" ref="B45:C45" si="30">B22/B21*100-100</f>
        <v>1.3447803738279021</v>
      </c>
      <c r="C45" s="11">
        <f t="shared" si="30"/>
        <v>2.4347123488235809</v>
      </c>
      <c r="D45" s="11">
        <f t="shared" si="29"/>
        <v>17.299054357937067</v>
      </c>
      <c r="E45" s="11">
        <f t="shared" si="29"/>
        <v>17.478767502161702</v>
      </c>
      <c r="F45" s="11">
        <f t="shared" si="10"/>
        <v>3.2425926695104357</v>
      </c>
      <c r="G45" s="11">
        <f t="shared" si="11"/>
        <v>3.2742087654310748</v>
      </c>
      <c r="H45" s="11">
        <f t="shared" si="12"/>
        <v>-3.1616095920639076E-2</v>
      </c>
    </row>
    <row r="46" spans="1:13" x14ac:dyDescent="0.35">
      <c r="A46">
        <v>2020</v>
      </c>
      <c r="B46" s="11">
        <f t="shared" ref="B46:C46" si="31">B23/B22*100-100</f>
        <v>-11.110915340292124</v>
      </c>
      <c r="C46" s="11">
        <f t="shared" si="31"/>
        <v>-11.011684434214615</v>
      </c>
      <c r="D46" s="11">
        <f t="shared" ref="D46:E47" si="32">B23/B18*100-100</f>
        <v>0.10738448935987321</v>
      </c>
      <c r="E46" s="11">
        <f t="shared" si="32"/>
        <v>1.1388841661639049</v>
      </c>
      <c r="F46" s="11">
        <f t="shared" si="10"/>
        <v>2.1467678668485313E-2</v>
      </c>
      <c r="G46" s="11">
        <f t="shared" si="11"/>
        <v>0.22674622202494277</v>
      </c>
      <c r="H46" s="11">
        <f t="shared" si="12"/>
        <v>-0.20527854335645745</v>
      </c>
    </row>
    <row r="47" spans="1:13" x14ac:dyDescent="0.35">
      <c r="A47">
        <v>2021</v>
      </c>
      <c r="B47" s="11">
        <f t="shared" ref="B47:C47" si="33">B24/B23*100-100</f>
        <v>14.760350725719235</v>
      </c>
      <c r="C47" s="11">
        <f t="shared" si="33"/>
        <v>12.522104813121501</v>
      </c>
      <c r="D47" s="11">
        <f t="shared" si="32"/>
        <v>9.878877719163583</v>
      </c>
      <c r="E47" s="11">
        <f>C24/C19*100-100</f>
        <v>9.596567603884381</v>
      </c>
      <c r="F47" s="11">
        <f t="shared" si="10"/>
        <v>1.9020317083359828</v>
      </c>
      <c r="G47" s="11">
        <f t="shared" si="11"/>
        <v>1.8496147455463019</v>
      </c>
      <c r="H47" s="11">
        <f t="shared" si="12"/>
        <v>5.2416962789680888E-2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"/>
  <sheetViews>
    <sheetView zoomScale="85" zoomScaleNormal="85" workbookViewId="0">
      <selection activeCell="H36" sqref="H36:H47"/>
    </sheetView>
  </sheetViews>
  <sheetFormatPr baseColWidth="10" defaultColWidth="11.453125" defaultRowHeight="14.5" x14ac:dyDescent="0.35"/>
  <sheetData>
    <row r="2" spans="2:4" x14ac:dyDescent="0.35">
      <c r="B2" t="s">
        <v>261</v>
      </c>
      <c r="C2">
        <v>67</v>
      </c>
      <c r="D2">
        <v>71</v>
      </c>
    </row>
    <row r="3" spans="2:4" x14ac:dyDescent="0.35">
      <c r="B3" t="s">
        <v>248</v>
      </c>
      <c r="C3">
        <v>72</v>
      </c>
    </row>
    <row r="4" spans="2:4" x14ac:dyDescent="0.35">
      <c r="B4" t="s">
        <v>266</v>
      </c>
      <c r="C4">
        <v>74</v>
      </c>
    </row>
    <row r="5" spans="2:4" x14ac:dyDescent="0.35">
      <c r="B5" t="s">
        <v>257</v>
      </c>
      <c r="C5">
        <v>57</v>
      </c>
    </row>
    <row r="6" spans="2:4" x14ac:dyDescent="0.35">
      <c r="B6" t="s">
        <v>267</v>
      </c>
      <c r="C6">
        <v>57</v>
      </c>
    </row>
    <row r="7" spans="2:4" x14ac:dyDescent="0.35">
      <c r="B7" t="s">
        <v>270</v>
      </c>
      <c r="C7">
        <v>63</v>
      </c>
    </row>
    <row r="8" spans="2:4" x14ac:dyDescent="0.35">
      <c r="B8" t="s">
        <v>270</v>
      </c>
      <c r="C8">
        <v>85</v>
      </c>
    </row>
    <row r="9" spans="2:4" x14ac:dyDescent="0.35">
      <c r="B9" t="s">
        <v>254</v>
      </c>
      <c r="C9">
        <v>60</v>
      </c>
    </row>
    <row r="10" spans="2:4" x14ac:dyDescent="0.35">
      <c r="B10" t="s">
        <v>246</v>
      </c>
      <c r="C10">
        <v>55</v>
      </c>
    </row>
    <row r="11" spans="2:4" x14ac:dyDescent="0.35">
      <c r="B11" t="s">
        <v>247</v>
      </c>
      <c r="C11">
        <v>49</v>
      </c>
    </row>
    <row r="12" spans="2:4" x14ac:dyDescent="0.35">
      <c r="B12" t="s">
        <v>255</v>
      </c>
      <c r="C12">
        <v>49</v>
      </c>
    </row>
    <row r="13" spans="2:4" x14ac:dyDescent="0.35">
      <c r="B13" t="s">
        <v>253</v>
      </c>
      <c r="C13">
        <v>49</v>
      </c>
    </row>
    <row r="14" spans="2:4" x14ac:dyDescent="0.35">
      <c r="B14" t="s">
        <v>250</v>
      </c>
      <c r="C14">
        <v>50</v>
      </c>
    </row>
    <row r="15" spans="2:4" x14ac:dyDescent="0.35">
      <c r="B15" t="s">
        <v>265</v>
      </c>
      <c r="C15">
        <v>49</v>
      </c>
    </row>
    <row r="16" spans="2:4" x14ac:dyDescent="0.35">
      <c r="B16" t="s">
        <v>256</v>
      </c>
      <c r="C16">
        <v>53</v>
      </c>
    </row>
    <row r="17" spans="2:3" x14ac:dyDescent="0.35">
      <c r="B17" t="s">
        <v>263</v>
      </c>
      <c r="C17">
        <v>51</v>
      </c>
    </row>
    <row r="18" spans="2:3" x14ac:dyDescent="0.35">
      <c r="B18" t="s">
        <v>251</v>
      </c>
      <c r="C18">
        <v>50</v>
      </c>
    </row>
    <row r="19" spans="2:3" x14ac:dyDescent="0.35">
      <c r="B19" t="s">
        <v>252</v>
      </c>
      <c r="C19">
        <v>42</v>
      </c>
    </row>
    <row r="20" spans="2:3" x14ac:dyDescent="0.35">
      <c r="B20" t="s">
        <v>262</v>
      </c>
      <c r="C20">
        <v>34</v>
      </c>
    </row>
    <row r="21" spans="2:3" x14ac:dyDescent="0.35">
      <c r="B21" t="s">
        <v>259</v>
      </c>
      <c r="C21">
        <v>28</v>
      </c>
    </row>
    <row r="22" spans="2:3" x14ac:dyDescent="0.35">
      <c r="B22" t="s">
        <v>245</v>
      </c>
      <c r="C22">
        <v>46</v>
      </c>
    </row>
    <row r="23" spans="2:3" x14ac:dyDescent="0.35">
      <c r="B23" t="s">
        <v>264</v>
      </c>
      <c r="C23">
        <v>28</v>
      </c>
    </row>
    <row r="24" spans="2:3" x14ac:dyDescent="0.35">
      <c r="B24" t="s">
        <v>268</v>
      </c>
      <c r="C24">
        <v>34</v>
      </c>
    </row>
    <row r="25" spans="2:3" x14ac:dyDescent="0.35">
      <c r="B25" t="s">
        <v>249</v>
      </c>
      <c r="C25">
        <v>48</v>
      </c>
    </row>
    <row r="26" spans="2:3" x14ac:dyDescent="0.35">
      <c r="B26" t="s">
        <v>260</v>
      </c>
      <c r="C26">
        <v>40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"/>
  <sheetViews>
    <sheetView workbookViewId="0">
      <selection activeCell="H36" sqref="H36:H47"/>
    </sheetView>
  </sheetViews>
  <sheetFormatPr baseColWidth="10" defaultColWidth="11.453125" defaultRowHeight="14.5" x14ac:dyDescent="0.35"/>
  <sheetData>
    <row r="2" spans="2:13" x14ac:dyDescent="0.35">
      <c r="C2" t="s">
        <v>271</v>
      </c>
      <c r="D2" t="s">
        <v>272</v>
      </c>
      <c r="E2" t="s">
        <v>273</v>
      </c>
    </row>
    <row r="3" spans="2:13" x14ac:dyDescent="0.35">
      <c r="B3">
        <v>2009</v>
      </c>
      <c r="C3">
        <v>53891.197348455898</v>
      </c>
      <c r="D3">
        <v>3101.1968386609301</v>
      </c>
      <c r="E3">
        <v>1904.5398313181399</v>
      </c>
      <c r="F3">
        <f>E3+D3</f>
        <v>5005.73666997907</v>
      </c>
      <c r="G3">
        <f>F3/C3*100</f>
        <v>9.2885979831036281</v>
      </c>
      <c r="K3" t="s">
        <v>274</v>
      </c>
      <c r="L3" t="s">
        <v>275</v>
      </c>
    </row>
    <row r="4" spans="2:13" x14ac:dyDescent="0.35">
      <c r="B4">
        <v>2010</v>
      </c>
      <c r="C4">
        <v>65960.540341454602</v>
      </c>
      <c r="D4">
        <v>2926.8288516371999</v>
      </c>
      <c r="E4">
        <v>2156.2806458099999</v>
      </c>
      <c r="F4">
        <f t="shared" ref="F4:F14" si="0">E4+D4</f>
        <v>5083.1094974471998</v>
      </c>
      <c r="G4">
        <f t="shared" ref="G4:G14" si="1">F4/C4*100</f>
        <v>7.706288443262781</v>
      </c>
      <c r="I4">
        <v>2010</v>
      </c>
      <c r="J4">
        <v>928.28959999999995</v>
      </c>
      <c r="K4">
        <v>101.52952908333333</v>
      </c>
      <c r="L4">
        <f>K4/$K$15*100</f>
        <v>72.773756647752492</v>
      </c>
      <c r="M4">
        <f>J4/(L4/100)</f>
        <v>1275.5829062023126</v>
      </c>
    </row>
    <row r="5" spans="2:13" x14ac:dyDescent="0.35">
      <c r="B5">
        <v>2011</v>
      </c>
      <c r="C5">
        <v>77265.521104458807</v>
      </c>
      <c r="D5">
        <v>2654.9580522497699</v>
      </c>
      <c r="E5">
        <v>2886.1682573036101</v>
      </c>
      <c r="F5">
        <f t="shared" si="0"/>
        <v>5541.1263095533795</v>
      </c>
      <c r="G5">
        <f t="shared" si="1"/>
        <v>7.1715381328523966</v>
      </c>
      <c r="I5">
        <v>2011</v>
      </c>
      <c r="J5">
        <v>1001.65</v>
      </c>
      <c r="K5">
        <v>104.95073458333334</v>
      </c>
      <c r="L5">
        <f t="shared" ref="L5:L15" si="2">K5/$K$15*100</f>
        <v>75.225988808650229</v>
      </c>
      <c r="M5">
        <f t="shared" ref="M5:M15" si="3">J5/(L5/100)</f>
        <v>1331.5212147597858</v>
      </c>
    </row>
    <row r="6" spans="2:13" x14ac:dyDescent="0.35">
      <c r="B6">
        <v>2012</v>
      </c>
      <c r="C6">
        <v>86097.217251924405</v>
      </c>
      <c r="D6">
        <v>2755.3331505762098</v>
      </c>
      <c r="E6">
        <v>2812.77471295849</v>
      </c>
      <c r="F6">
        <f t="shared" si="0"/>
        <v>5568.1078635347003</v>
      </c>
      <c r="G6">
        <f t="shared" si="1"/>
        <v>6.4672332524315648</v>
      </c>
      <c r="I6">
        <v>2012</v>
      </c>
      <c r="J6">
        <v>1088.43</v>
      </c>
      <c r="K6">
        <v>108.78711833333335</v>
      </c>
      <c r="L6">
        <f t="shared" si="2"/>
        <v>77.975810067062085</v>
      </c>
      <c r="M6">
        <f t="shared" si="3"/>
        <v>1395.8559700295641</v>
      </c>
    </row>
    <row r="7" spans="2:13" x14ac:dyDescent="0.35">
      <c r="B7">
        <v>2013</v>
      </c>
      <c r="C7">
        <v>91620.425510345798</v>
      </c>
      <c r="D7">
        <v>3065.3798174571998</v>
      </c>
      <c r="E7">
        <v>3026.11590187703</v>
      </c>
      <c r="F7">
        <f t="shared" si="0"/>
        <v>6091.4957193342298</v>
      </c>
      <c r="G7">
        <f t="shared" si="1"/>
        <v>6.6486219480026056</v>
      </c>
      <c r="I7">
        <v>2013</v>
      </c>
      <c r="J7">
        <v>1124.5840000000001</v>
      </c>
      <c r="K7">
        <v>111.83949716666666</v>
      </c>
      <c r="L7">
        <f t="shared" si="2"/>
        <v>80.163676753919518</v>
      </c>
      <c r="M7">
        <f t="shared" si="3"/>
        <v>1402.8598057598633</v>
      </c>
    </row>
    <row r="8" spans="2:13" x14ac:dyDescent="0.35">
      <c r="B8">
        <v>2014</v>
      </c>
      <c r="C8">
        <v>97654.410446129696</v>
      </c>
      <c r="D8">
        <v>2909.1806602840002</v>
      </c>
      <c r="E8">
        <v>3306.3210617664199</v>
      </c>
      <c r="F8">
        <f t="shared" si="0"/>
        <v>6215.5017220504196</v>
      </c>
      <c r="G8">
        <f t="shared" si="1"/>
        <v>6.3647936571990806</v>
      </c>
      <c r="I8">
        <v>2014</v>
      </c>
      <c r="J8">
        <v>1177.02</v>
      </c>
      <c r="K8">
        <v>115.46976366666667</v>
      </c>
      <c r="L8">
        <f t="shared" si="2"/>
        <v>82.765758465740021</v>
      </c>
      <c r="M8">
        <f t="shared" si="3"/>
        <v>1422.109845688437</v>
      </c>
    </row>
    <row r="9" spans="2:13" x14ac:dyDescent="0.35">
      <c r="B9">
        <v>2015</v>
      </c>
      <c r="C9">
        <v>92790.601346988406</v>
      </c>
      <c r="D9">
        <v>2663.8534714577199</v>
      </c>
      <c r="E9">
        <v>3724.27098830151</v>
      </c>
      <c r="F9">
        <f t="shared" si="0"/>
        <v>6388.1244597592304</v>
      </c>
      <c r="G9">
        <f t="shared" si="1"/>
        <v>6.8844520533615032</v>
      </c>
      <c r="I9">
        <v>2015</v>
      </c>
      <c r="J9">
        <v>1237.6479999999999</v>
      </c>
      <c r="K9">
        <v>119.56645625</v>
      </c>
      <c r="L9">
        <f t="shared" si="2"/>
        <v>85.702162404691123</v>
      </c>
      <c r="M9">
        <f t="shared" si="3"/>
        <v>1444.1269219739713</v>
      </c>
    </row>
    <row r="10" spans="2:13" x14ac:dyDescent="0.35">
      <c r="B10">
        <v>2016</v>
      </c>
      <c r="C10">
        <v>92152.995830226195</v>
      </c>
      <c r="D10">
        <v>3005.0077614957499</v>
      </c>
      <c r="E10">
        <v>4177.0280992151402</v>
      </c>
      <c r="F10">
        <f t="shared" si="0"/>
        <v>7182.0358607108901</v>
      </c>
      <c r="G10">
        <f t="shared" si="1"/>
        <v>7.793599975786333</v>
      </c>
      <c r="I10">
        <v>2016</v>
      </c>
      <c r="J10">
        <v>1309.441</v>
      </c>
      <c r="K10">
        <v>123.86257933333333</v>
      </c>
      <c r="L10">
        <f t="shared" si="2"/>
        <v>88.78151299971536</v>
      </c>
      <c r="M10">
        <f t="shared" si="3"/>
        <v>1474.9027762167086</v>
      </c>
    </row>
    <row r="11" spans="2:13" x14ac:dyDescent="0.35">
      <c r="B11">
        <v>2017</v>
      </c>
      <c r="C11">
        <v>93399.991838205795</v>
      </c>
      <c r="D11">
        <v>3181.2896965393002</v>
      </c>
      <c r="E11">
        <v>5174.7127978069502</v>
      </c>
      <c r="F11">
        <f t="shared" si="0"/>
        <v>8356.0024943462504</v>
      </c>
      <c r="G11">
        <f t="shared" si="1"/>
        <v>8.9464702618187815</v>
      </c>
      <c r="I11">
        <v>2017</v>
      </c>
      <c r="J11">
        <v>1310.711</v>
      </c>
      <c r="K11">
        <v>127.33547775</v>
      </c>
      <c r="L11">
        <f t="shared" si="2"/>
        <v>91.270797314522184</v>
      </c>
      <c r="M11">
        <f t="shared" si="3"/>
        <v>1436.068313814819</v>
      </c>
    </row>
    <row r="12" spans="2:13" x14ac:dyDescent="0.35">
      <c r="B12">
        <v>2018</v>
      </c>
      <c r="C12">
        <v>107358.46134678699</v>
      </c>
      <c r="D12">
        <v>3499.2878586902002</v>
      </c>
      <c r="E12">
        <v>6514.1467825432901</v>
      </c>
      <c r="F12">
        <f t="shared" si="0"/>
        <v>10013.434641233491</v>
      </c>
      <c r="G12">
        <f t="shared" si="1"/>
        <v>9.3271033466922635</v>
      </c>
      <c r="I12">
        <v>2018</v>
      </c>
      <c r="J12">
        <v>1331.4169999999999</v>
      </c>
      <c r="K12">
        <v>129.0121174166666</v>
      </c>
      <c r="L12">
        <f t="shared" si="2"/>
        <v>92.472569529852919</v>
      </c>
      <c r="M12">
        <f t="shared" si="3"/>
        <v>1439.7966951379874</v>
      </c>
    </row>
    <row r="13" spans="2:13" x14ac:dyDescent="0.35">
      <c r="B13">
        <v>2019</v>
      </c>
      <c r="C13">
        <v>113769.32920014999</v>
      </c>
      <c r="D13">
        <v>3404.3860260369502</v>
      </c>
      <c r="E13">
        <v>7257.7890026535297</v>
      </c>
      <c r="F13">
        <f t="shared" si="0"/>
        <v>10662.175028690479</v>
      </c>
      <c r="G13">
        <f t="shared" si="1"/>
        <v>9.3717481711902551</v>
      </c>
      <c r="I13">
        <v>2019</v>
      </c>
      <c r="J13">
        <v>1363.174</v>
      </c>
      <c r="K13">
        <v>131.76755476784547</v>
      </c>
      <c r="L13">
        <f t="shared" si="2"/>
        <v>94.447596195132078</v>
      </c>
      <c r="M13">
        <f t="shared" si="3"/>
        <v>1443.3125404098525</v>
      </c>
    </row>
    <row r="14" spans="2:13" x14ac:dyDescent="0.35">
      <c r="B14">
        <v>2020</v>
      </c>
      <c r="C14">
        <v>95523.378273611001</v>
      </c>
      <c r="D14">
        <v>3365.2985776451001</v>
      </c>
      <c r="E14">
        <v>8130.4154265291199</v>
      </c>
      <c r="F14">
        <f t="shared" si="0"/>
        <v>11495.71400417422</v>
      </c>
      <c r="G14">
        <f t="shared" si="1"/>
        <v>12.034450845369642</v>
      </c>
      <c r="I14">
        <v>2020</v>
      </c>
      <c r="J14">
        <v>1218.519</v>
      </c>
      <c r="K14">
        <v>134.17541050000008</v>
      </c>
      <c r="L14">
        <f t="shared" si="2"/>
        <v>96.173485290420714</v>
      </c>
      <c r="M14">
        <f t="shared" si="3"/>
        <v>1267.0009788252621</v>
      </c>
    </row>
    <row r="15" spans="2:13" x14ac:dyDescent="0.35">
      <c r="I15">
        <v>2021</v>
      </c>
      <c r="J15">
        <v>1335.567</v>
      </c>
      <c r="K15">
        <v>139.51393161516683</v>
      </c>
      <c r="L15">
        <f t="shared" si="2"/>
        <v>100</v>
      </c>
      <c r="M15">
        <f t="shared" si="3"/>
        <v>1335.567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H36" sqref="H36:H47"/>
    </sheetView>
  </sheetViews>
  <sheetFormatPr baseColWidth="10" defaultColWidth="11.453125" defaultRowHeight="14.5" x14ac:dyDescent="0.35"/>
  <cols>
    <col min="3" max="3" width="11.453125" style="18"/>
  </cols>
  <sheetData>
    <row r="1" spans="2:4" x14ac:dyDescent="0.35">
      <c r="C1" s="16" t="s">
        <v>276</v>
      </c>
    </row>
    <row r="2" spans="2:4" x14ac:dyDescent="0.35">
      <c r="B2">
        <v>2015</v>
      </c>
      <c r="C2" s="17" t="s">
        <v>277</v>
      </c>
      <c r="D2" s="18"/>
    </row>
    <row r="3" spans="2:4" x14ac:dyDescent="0.35">
      <c r="B3">
        <v>2016</v>
      </c>
      <c r="C3" s="17" t="s">
        <v>278</v>
      </c>
      <c r="D3" s="16" t="s">
        <v>279</v>
      </c>
    </row>
    <row r="4" spans="2:4" x14ac:dyDescent="0.35">
      <c r="B4">
        <v>2017</v>
      </c>
      <c r="C4" s="17" t="s">
        <v>280</v>
      </c>
      <c r="D4" s="16" t="s">
        <v>281</v>
      </c>
    </row>
    <row r="5" spans="2:4" x14ac:dyDescent="0.35">
      <c r="B5">
        <v>2018</v>
      </c>
      <c r="D5" s="17" t="s">
        <v>282</v>
      </c>
    </row>
    <row r="6" spans="2:4" x14ac:dyDescent="0.35">
      <c r="D6" s="18"/>
    </row>
    <row r="9" spans="2:4" x14ac:dyDescent="0.35">
      <c r="B9" t="s">
        <v>283</v>
      </c>
      <c r="C9" s="19" t="s">
        <v>237</v>
      </c>
    </row>
  </sheetData>
  <hyperlinks>
    <hyperlink ref="C2" r:id="rId1"/>
    <hyperlink ref="C3" r:id="rId2"/>
    <hyperlink ref="C4" r:id="rId3"/>
    <hyperlink ref="D5" r:id="rId4"/>
    <hyperlink ref="D4" r:id="rId5"/>
    <hyperlink ref="D3" r:id="rId6"/>
    <hyperlink ref="C1" r:id="rId7"/>
    <hyperlink ref="C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"/>
  <sheetViews>
    <sheetView showGridLines="0" zoomScale="70" zoomScaleNormal="70" workbookViewId="0">
      <selection activeCell="W11" sqref="W11"/>
    </sheetView>
  </sheetViews>
  <sheetFormatPr baseColWidth="10" defaultColWidth="8.7265625" defaultRowHeight="14" x14ac:dyDescent="0.3"/>
  <cols>
    <col min="1" max="1" width="3.1796875" style="92" customWidth="1"/>
    <col min="2" max="2" width="7.453125" style="92" customWidth="1"/>
    <col min="3" max="3" width="52.453125" style="92" bestFit="1" customWidth="1"/>
    <col min="4" max="4" width="72.90625" style="92" customWidth="1"/>
    <col min="5" max="5" width="42.1796875" style="92" customWidth="1"/>
    <col min="6" max="6" width="24.26953125" style="92" customWidth="1"/>
    <col min="7" max="16384" width="8.7265625" style="92"/>
  </cols>
  <sheetData>
    <row r="2" spans="1:20" ht="18" x14ac:dyDescent="0.3">
      <c r="B2" s="93" t="s">
        <v>318</v>
      </c>
    </row>
    <row r="3" spans="1:20" x14ac:dyDescent="0.3"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</row>
    <row r="4" spans="1:20" s="95" customFormat="1" x14ac:dyDescent="0.3">
      <c r="A4" s="92"/>
      <c r="B4" s="95" t="s">
        <v>316</v>
      </c>
      <c r="C4" s="95" t="s">
        <v>16</v>
      </c>
      <c r="D4" s="95" t="s">
        <v>17</v>
      </c>
      <c r="E4" s="95" t="s">
        <v>18</v>
      </c>
      <c r="F4" s="95" t="s">
        <v>19</v>
      </c>
      <c r="G4" s="95">
        <v>2010</v>
      </c>
      <c r="H4" s="95">
        <v>2011</v>
      </c>
      <c r="I4" s="95">
        <v>2012</v>
      </c>
      <c r="J4" s="95">
        <v>2013</v>
      </c>
      <c r="K4" s="95">
        <v>2014</v>
      </c>
      <c r="L4" s="95">
        <v>2015</v>
      </c>
      <c r="M4" s="95">
        <v>2016</v>
      </c>
      <c r="N4" s="95">
        <v>2017</v>
      </c>
      <c r="O4" s="95">
        <v>2018</v>
      </c>
      <c r="P4" s="95">
        <v>2019</v>
      </c>
      <c r="Q4" s="95">
        <v>2020</v>
      </c>
      <c r="R4" s="95">
        <v>2021</v>
      </c>
      <c r="S4" s="95">
        <v>2022</v>
      </c>
      <c r="T4" s="95">
        <v>2023</v>
      </c>
    </row>
    <row r="5" spans="1:20" s="112" customFormat="1" x14ac:dyDescent="0.3">
      <c r="A5" s="97"/>
      <c r="B5" s="110">
        <v>5</v>
      </c>
      <c r="C5" s="111" t="s">
        <v>6</v>
      </c>
      <c r="D5" s="112" t="s">
        <v>43</v>
      </c>
      <c r="E5" s="112" t="s">
        <v>44</v>
      </c>
      <c r="F5" s="112" t="s">
        <v>45</v>
      </c>
      <c r="G5" s="123">
        <v>6.878443538241652</v>
      </c>
      <c r="H5" s="123">
        <v>6.6385051847325016</v>
      </c>
      <c r="I5" s="123">
        <v>6.1668479655895947</v>
      </c>
      <c r="J5" s="123">
        <v>5.5220118653198647</v>
      </c>
      <c r="K5" s="123">
        <v>5.7891859275132296</v>
      </c>
      <c r="L5" s="123">
        <v>4.7778433975107726</v>
      </c>
      <c r="M5" s="123">
        <v>4.305751822864412</v>
      </c>
      <c r="N5" s="123">
        <v>3.5841720878375005</v>
      </c>
      <c r="O5" s="123">
        <v>3.2144643921257154</v>
      </c>
      <c r="P5" s="123">
        <v>3.1844079970759109</v>
      </c>
      <c r="Q5" s="123">
        <v>0.16097470402758329</v>
      </c>
      <c r="R5" s="123">
        <v>1.9535560385893769</v>
      </c>
      <c r="S5" s="123">
        <v>1.9857976803379751</v>
      </c>
      <c r="T5" s="123">
        <v>1.294416385130881</v>
      </c>
    </row>
    <row r="6" spans="1:20" s="112" customFormat="1" x14ac:dyDescent="0.3">
      <c r="A6" s="97"/>
      <c r="B6" s="110">
        <v>5</v>
      </c>
      <c r="C6" s="111" t="s">
        <v>6</v>
      </c>
      <c r="D6" s="112" t="s">
        <v>47</v>
      </c>
      <c r="E6" s="112" t="s">
        <v>48</v>
      </c>
      <c r="F6" s="112" t="s">
        <v>49</v>
      </c>
      <c r="G6" s="123">
        <v>30.017811636601166</v>
      </c>
      <c r="H6" s="123">
        <v>32.519946811063889</v>
      </c>
      <c r="I6" s="123">
        <v>33.15791269029495</v>
      </c>
      <c r="J6" s="123">
        <v>33.493863322819408</v>
      </c>
      <c r="K6" s="123">
        <v>34.540161415884583</v>
      </c>
      <c r="L6" s="123">
        <v>34.145076093543523</v>
      </c>
      <c r="M6" s="123">
        <v>35.194755587454154</v>
      </c>
      <c r="N6" s="123">
        <v>34.291951627891166</v>
      </c>
      <c r="O6" s="123">
        <v>34.260921747319088</v>
      </c>
      <c r="P6" s="123">
        <v>33.59645377192389</v>
      </c>
      <c r="Q6" s="123">
        <v>31.581858950866064</v>
      </c>
      <c r="R6" s="123">
        <v>28.595077555710098</v>
      </c>
      <c r="S6" s="123">
        <v>29.5</v>
      </c>
      <c r="T6" s="124">
        <v>32.799999999999997</v>
      </c>
    </row>
    <row r="7" spans="1:20" s="112" customFormat="1" x14ac:dyDescent="0.3">
      <c r="A7" s="97"/>
      <c r="B7" s="110">
        <v>6</v>
      </c>
      <c r="C7" s="112" t="s">
        <v>321</v>
      </c>
      <c r="D7" s="112" t="s">
        <v>50</v>
      </c>
      <c r="E7" s="112" t="s">
        <v>51</v>
      </c>
      <c r="F7" s="112" t="s">
        <v>52</v>
      </c>
      <c r="G7" s="123">
        <v>53.096398147558048</v>
      </c>
      <c r="H7" s="123">
        <v>18.460802317621749</v>
      </c>
      <c r="I7" s="123">
        <v>30.25</v>
      </c>
      <c r="J7" s="123">
        <v>14.430744167813135</v>
      </c>
      <c r="K7" s="123">
        <v>13.008488840112015</v>
      </c>
      <c r="L7" s="123">
        <v>-1</v>
      </c>
      <c r="M7" s="123">
        <v>17</v>
      </c>
      <c r="N7" s="123">
        <v>14.5</v>
      </c>
      <c r="O7" s="123">
        <v>21.5</v>
      </c>
      <c r="P7" s="123">
        <v>-0.25</v>
      </c>
      <c r="Q7" s="123">
        <v>-20.75</v>
      </c>
      <c r="R7" s="123">
        <v>-24.75</v>
      </c>
      <c r="S7" s="123">
        <v>-9.25</v>
      </c>
      <c r="T7" s="123">
        <v>-0.875</v>
      </c>
    </row>
    <row r="8" spans="1:20" s="112" customFormat="1" x14ac:dyDescent="0.3">
      <c r="A8" s="97"/>
      <c r="B8" s="110">
        <v>6</v>
      </c>
      <c r="C8" s="112" t="s">
        <v>321</v>
      </c>
      <c r="D8" s="112" t="s">
        <v>284</v>
      </c>
      <c r="E8" s="112" t="s">
        <v>285</v>
      </c>
      <c r="F8" s="112" t="s">
        <v>286</v>
      </c>
      <c r="G8" s="123">
        <v>37</v>
      </c>
      <c r="H8" s="123">
        <v>27</v>
      </c>
      <c r="I8" s="123">
        <v>38</v>
      </c>
      <c r="J8" s="123">
        <v>29</v>
      </c>
      <c r="K8" s="123">
        <v>33</v>
      </c>
      <c r="L8" s="123">
        <v>17</v>
      </c>
      <c r="M8" s="123">
        <v>25</v>
      </c>
      <c r="N8" s="123">
        <v>12</v>
      </c>
      <c r="O8" s="123">
        <v>21</v>
      </c>
      <c r="P8" s="123">
        <v>15</v>
      </c>
      <c r="Q8" s="123">
        <v>9</v>
      </c>
      <c r="R8" s="123">
        <v>6</v>
      </c>
      <c r="S8" s="123">
        <v>3</v>
      </c>
      <c r="T8" s="123">
        <v>5</v>
      </c>
    </row>
    <row r="9" spans="1:20" s="112" customFormat="1" x14ac:dyDescent="0.3">
      <c r="A9" s="97"/>
      <c r="B9" s="110">
        <v>7</v>
      </c>
      <c r="C9" s="111" t="s">
        <v>53</v>
      </c>
      <c r="D9" s="112" t="s">
        <v>54</v>
      </c>
      <c r="E9" s="112" t="s">
        <v>327</v>
      </c>
      <c r="F9" s="112" t="s">
        <v>45</v>
      </c>
      <c r="G9" s="123">
        <v>2.0764442319031202</v>
      </c>
      <c r="H9" s="123">
        <v>4.7384208424835199</v>
      </c>
      <c r="I9" s="123">
        <v>2.6493688807159002</v>
      </c>
      <c r="J9" s="123">
        <v>2.8596811557922499</v>
      </c>
      <c r="K9" s="123">
        <v>3.2240611887172999</v>
      </c>
      <c r="L9" s="123">
        <v>4.3979285416694003</v>
      </c>
      <c r="M9" s="123">
        <v>3.2348819503701201</v>
      </c>
      <c r="N9" s="123">
        <v>1.3648558837145399</v>
      </c>
      <c r="O9" s="123">
        <v>2.1925231538681902</v>
      </c>
      <c r="P9" s="123">
        <v>1.90009157916242</v>
      </c>
      <c r="Q9" s="123">
        <v>1.9732322294607501</v>
      </c>
      <c r="R9" s="123">
        <v>6.4</v>
      </c>
      <c r="S9" s="123">
        <v>8.4600000000000009</v>
      </c>
      <c r="T9" s="123">
        <v>4.0999999999999996</v>
      </c>
    </row>
    <row r="10" spans="1:20" s="112" customFormat="1" x14ac:dyDescent="0.3">
      <c r="A10" s="97"/>
      <c r="B10" s="110">
        <v>7</v>
      </c>
      <c r="C10" s="111" t="s">
        <v>53</v>
      </c>
      <c r="D10" s="112" t="s">
        <v>56</v>
      </c>
      <c r="E10" s="112" t="s">
        <v>57</v>
      </c>
      <c r="F10" s="112" t="s">
        <v>45</v>
      </c>
      <c r="G10" s="123">
        <v>7.706288443262781</v>
      </c>
      <c r="H10" s="123">
        <v>7.1715381328523966</v>
      </c>
      <c r="I10" s="123">
        <v>6.4672332524315523</v>
      </c>
      <c r="J10" s="123">
        <v>6.6486219480026056</v>
      </c>
      <c r="K10" s="123">
        <v>6.3647936571990806</v>
      </c>
      <c r="L10" s="123">
        <v>6.8844520533615032</v>
      </c>
      <c r="M10" s="123">
        <v>7.793599975786333</v>
      </c>
      <c r="N10" s="123">
        <v>8.9464702618187815</v>
      </c>
      <c r="O10" s="123">
        <v>9.3286762242699321</v>
      </c>
      <c r="P10" s="123">
        <v>9.3733613785410625</v>
      </c>
      <c r="Q10" s="123">
        <v>12.037679586915138</v>
      </c>
      <c r="R10" s="123">
        <v>9.221444799595119</v>
      </c>
      <c r="S10" s="123">
        <v>9.130685043334422</v>
      </c>
      <c r="T10" s="123">
        <v>11.1</v>
      </c>
    </row>
    <row r="11" spans="1:20" s="112" customFormat="1" x14ac:dyDescent="0.3">
      <c r="A11" s="97"/>
      <c r="B11" s="110">
        <v>8</v>
      </c>
      <c r="C11" s="113" t="s">
        <v>323</v>
      </c>
      <c r="D11" s="112" t="s">
        <v>336</v>
      </c>
      <c r="E11" s="112" t="s">
        <v>183</v>
      </c>
      <c r="F11" s="112" t="s">
        <v>286</v>
      </c>
      <c r="G11" s="124" t="s">
        <v>24</v>
      </c>
      <c r="H11" s="124" t="s">
        <v>24</v>
      </c>
      <c r="I11" s="124" t="s">
        <v>24</v>
      </c>
      <c r="J11" s="124" t="s">
        <v>24</v>
      </c>
      <c r="K11" s="124" t="s">
        <v>24</v>
      </c>
      <c r="L11" s="124" t="s">
        <v>24</v>
      </c>
      <c r="M11" s="124" t="s">
        <v>24</v>
      </c>
      <c r="N11" s="124" t="s">
        <v>24</v>
      </c>
      <c r="O11" s="124" t="s">
        <v>24</v>
      </c>
      <c r="P11" s="124" t="s">
        <v>24</v>
      </c>
      <c r="Q11" s="124" t="s">
        <v>24</v>
      </c>
      <c r="R11" s="124" t="s">
        <v>24</v>
      </c>
      <c r="S11" s="124">
        <v>81.400000000000006</v>
      </c>
      <c r="T11" s="124">
        <v>84.2</v>
      </c>
    </row>
    <row r="12" spans="1:20" s="112" customFormat="1" x14ac:dyDescent="0.3">
      <c r="A12" s="97"/>
      <c r="B12" s="110">
        <v>8</v>
      </c>
      <c r="C12" s="113" t="s">
        <v>323</v>
      </c>
      <c r="D12" s="112" t="s">
        <v>337</v>
      </c>
      <c r="E12" s="113" t="s">
        <v>183</v>
      </c>
      <c r="F12" s="113" t="s">
        <v>185</v>
      </c>
      <c r="G12" s="124" t="s">
        <v>24</v>
      </c>
      <c r="H12" s="124" t="s">
        <v>24</v>
      </c>
      <c r="I12" s="124" t="s">
        <v>24</v>
      </c>
      <c r="J12" s="124" t="s">
        <v>24</v>
      </c>
      <c r="K12" s="124" t="s">
        <v>24</v>
      </c>
      <c r="L12" s="124" t="s">
        <v>24</v>
      </c>
      <c r="M12" s="124" t="s">
        <v>24</v>
      </c>
      <c r="N12" s="124" t="s">
        <v>24</v>
      </c>
      <c r="O12" s="124" t="s">
        <v>24</v>
      </c>
      <c r="P12" s="124" t="s">
        <v>24</v>
      </c>
      <c r="Q12" s="124" t="s">
        <v>24</v>
      </c>
      <c r="R12" s="124" t="s">
        <v>24</v>
      </c>
      <c r="S12" s="124">
        <v>32</v>
      </c>
      <c r="T12" s="124">
        <v>31</v>
      </c>
    </row>
    <row r="13" spans="1:20" s="112" customFormat="1" x14ac:dyDescent="0.3">
      <c r="A13" s="97"/>
      <c r="B13" s="110">
        <v>9</v>
      </c>
      <c r="C13" s="113" t="s">
        <v>322</v>
      </c>
      <c r="D13" s="112" t="s">
        <v>338</v>
      </c>
      <c r="E13" s="113" t="s">
        <v>339</v>
      </c>
      <c r="F13" s="113" t="s">
        <v>185</v>
      </c>
      <c r="G13" s="124" t="s">
        <v>24</v>
      </c>
      <c r="H13" s="124" t="s">
        <v>24</v>
      </c>
      <c r="I13" s="124" t="s">
        <v>24</v>
      </c>
      <c r="J13" s="124" t="s">
        <v>24</v>
      </c>
      <c r="K13" s="124" t="s">
        <v>24</v>
      </c>
      <c r="L13" s="124" t="s">
        <v>24</v>
      </c>
      <c r="M13" s="124" t="s">
        <v>24</v>
      </c>
      <c r="N13" s="124" t="s">
        <v>24</v>
      </c>
      <c r="O13" s="124" t="s">
        <v>24</v>
      </c>
      <c r="P13" s="124" t="s">
        <v>24</v>
      </c>
      <c r="Q13" s="124" t="s">
        <v>24</v>
      </c>
      <c r="R13" s="124" t="s">
        <v>24</v>
      </c>
      <c r="S13" s="124">
        <v>18</v>
      </c>
      <c r="T13" s="124">
        <v>17</v>
      </c>
    </row>
    <row r="14" spans="1:20" x14ac:dyDescent="0.3">
      <c r="B14" s="110">
        <v>9</v>
      </c>
      <c r="C14" s="113" t="s">
        <v>322</v>
      </c>
      <c r="D14" s="92" t="s">
        <v>340</v>
      </c>
      <c r="E14" s="92" t="s">
        <v>186</v>
      </c>
      <c r="F14" s="92" t="s">
        <v>286</v>
      </c>
      <c r="G14" s="124" t="s">
        <v>24</v>
      </c>
      <c r="H14" s="124" t="s">
        <v>24</v>
      </c>
      <c r="I14" s="124" t="s">
        <v>24</v>
      </c>
      <c r="J14" s="124" t="s">
        <v>24</v>
      </c>
      <c r="K14" s="124" t="s">
        <v>24</v>
      </c>
      <c r="L14" s="124" t="s">
        <v>24</v>
      </c>
      <c r="M14" s="124" t="s">
        <v>24</v>
      </c>
      <c r="N14" s="124" t="s">
        <v>24</v>
      </c>
      <c r="O14" s="124" t="s">
        <v>24</v>
      </c>
      <c r="P14" s="124" t="s">
        <v>24</v>
      </c>
      <c r="Q14" s="124" t="s">
        <v>24</v>
      </c>
      <c r="R14" s="124" t="s">
        <v>24</v>
      </c>
      <c r="S14" s="124">
        <v>59.5</v>
      </c>
      <c r="T14" s="124">
        <v>46</v>
      </c>
    </row>
  </sheetData>
  <conditionalFormatting sqref="G5:R13">
    <cfRule type="cellIs" dxfId="13" priority="27" operator="equal">
      <formula>"n.d."</formula>
    </cfRule>
    <cfRule type="cellIs" dxfId="12" priority="28" operator="equal">
      <formula>"""n.d."""</formula>
    </cfRule>
  </conditionalFormatting>
  <conditionalFormatting sqref="T6">
    <cfRule type="cellIs" dxfId="11" priority="1" operator="equal">
      <formula>"n.d."</formula>
    </cfRule>
    <cfRule type="cellIs" dxfId="10" priority="2" operator="equal">
      <formula>"""n.d."""</formula>
    </cfRule>
  </conditionalFormatting>
  <conditionalFormatting sqref="G14:R14">
    <cfRule type="cellIs" dxfId="9" priority="9" operator="equal">
      <formula>"n.d."</formula>
    </cfRule>
    <cfRule type="cellIs" dxfId="8" priority="10" operator="equal">
      <formula>"""n.d."""</formula>
    </cfRule>
  </conditionalFormatting>
  <conditionalFormatting sqref="S5:T5 S7:T13 S6">
    <cfRule type="cellIs" dxfId="7" priority="5" operator="equal">
      <formula>"n.d."</formula>
    </cfRule>
    <cfRule type="cellIs" dxfId="6" priority="6" operator="equal">
      <formula>"""n.d."""</formula>
    </cfRule>
  </conditionalFormatting>
  <conditionalFormatting sqref="S14:T14">
    <cfRule type="cellIs" dxfId="5" priority="3" operator="equal">
      <formula>"n.d."</formula>
    </cfRule>
    <cfRule type="cellIs" dxfId="4" priority="4" operator="equal">
      <formula>"""n.d."""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6"/>
  <sheetViews>
    <sheetView showGridLines="0" zoomScale="70" zoomScaleNormal="70" workbookViewId="0">
      <selection activeCell="D5" sqref="D5:D6"/>
    </sheetView>
  </sheetViews>
  <sheetFormatPr baseColWidth="10" defaultColWidth="8.7265625" defaultRowHeight="14" x14ac:dyDescent="0.3"/>
  <cols>
    <col min="1" max="1" width="3.1796875" style="92" customWidth="1"/>
    <col min="2" max="2" width="11.54296875" style="92" customWidth="1"/>
    <col min="3" max="3" width="38.7265625" style="92" customWidth="1"/>
    <col min="4" max="4" width="76.54296875" style="92" customWidth="1"/>
    <col min="5" max="5" width="39.1796875" style="92" bestFit="1" customWidth="1"/>
    <col min="6" max="6" width="18.1796875" style="92" bestFit="1" customWidth="1"/>
    <col min="7" max="18" width="9.1796875" style="92" customWidth="1"/>
    <col min="19" max="16384" width="8.7265625" style="94"/>
  </cols>
  <sheetData>
    <row r="2" spans="1:18" ht="18" x14ac:dyDescent="0.3">
      <c r="B2" s="93" t="s">
        <v>319</v>
      </c>
    </row>
    <row r="4" spans="1:18" x14ac:dyDescent="0.3">
      <c r="B4" s="95" t="s">
        <v>316</v>
      </c>
      <c r="C4" s="95" t="s">
        <v>16</v>
      </c>
      <c r="D4" s="95" t="s">
        <v>17</v>
      </c>
      <c r="E4" s="95" t="s">
        <v>18</v>
      </c>
      <c r="F4" s="95" t="s">
        <v>19</v>
      </c>
      <c r="G4" s="95">
        <v>2012</v>
      </c>
      <c r="H4" s="95">
        <v>2013</v>
      </c>
      <c r="I4" s="95">
        <v>2014</v>
      </c>
      <c r="J4" s="95">
        <v>2015</v>
      </c>
      <c r="K4" s="95">
        <v>2016</v>
      </c>
      <c r="L4" s="95">
        <v>2017</v>
      </c>
      <c r="M4" s="95">
        <v>2018</v>
      </c>
      <c r="N4" s="95">
        <v>2019</v>
      </c>
      <c r="O4" s="95">
        <v>2020</v>
      </c>
      <c r="P4" s="95">
        <v>2021</v>
      </c>
      <c r="Q4" s="95">
        <v>2022</v>
      </c>
      <c r="R4" s="95">
        <v>2023</v>
      </c>
    </row>
    <row r="5" spans="1:18" s="106" customFormat="1" x14ac:dyDescent="0.3">
      <c r="A5" s="97"/>
      <c r="B5" s="110">
        <v>10</v>
      </c>
      <c r="C5" s="112" t="s">
        <v>326</v>
      </c>
      <c r="D5" s="112" t="s">
        <v>345</v>
      </c>
      <c r="E5" s="112" t="s">
        <v>85</v>
      </c>
      <c r="F5" s="112" t="s">
        <v>173</v>
      </c>
      <c r="G5" s="114">
        <v>30.903382998778582</v>
      </c>
      <c r="H5" s="114">
        <v>32.956850870804288</v>
      </c>
      <c r="I5" s="114">
        <v>43.478658348364</v>
      </c>
      <c r="J5" s="114">
        <v>49.791170633453163</v>
      </c>
      <c r="K5" s="107">
        <v>46.4</v>
      </c>
      <c r="L5" s="114">
        <v>46.4</v>
      </c>
      <c r="M5" s="114">
        <v>37.799999999999997</v>
      </c>
      <c r="N5" s="114">
        <v>37.6</v>
      </c>
      <c r="O5" s="114">
        <v>37.6</v>
      </c>
      <c r="P5" s="114">
        <v>37.6</v>
      </c>
      <c r="Q5" s="114">
        <v>37.6</v>
      </c>
      <c r="R5" s="114" t="s">
        <v>24</v>
      </c>
    </row>
    <row r="6" spans="1:18" s="106" customFormat="1" x14ac:dyDescent="0.3">
      <c r="A6" s="97"/>
      <c r="B6" s="110">
        <v>10</v>
      </c>
      <c r="C6" s="112" t="s">
        <v>326</v>
      </c>
      <c r="D6" s="112" t="s">
        <v>346</v>
      </c>
      <c r="E6" s="112" t="s">
        <v>85</v>
      </c>
      <c r="F6" s="112" t="s">
        <v>173</v>
      </c>
      <c r="G6" s="114">
        <v>12.777364692982058</v>
      </c>
      <c r="H6" s="114">
        <v>16.846959571158084</v>
      </c>
      <c r="I6" s="114">
        <v>25.923556729058699</v>
      </c>
      <c r="J6" s="114">
        <v>26.647685092316813</v>
      </c>
      <c r="K6" s="114">
        <v>34.1</v>
      </c>
      <c r="L6" s="114">
        <v>34.1</v>
      </c>
      <c r="M6" s="114">
        <v>14.7</v>
      </c>
      <c r="N6" s="114">
        <v>17</v>
      </c>
      <c r="O6" s="114">
        <v>17</v>
      </c>
      <c r="P6" s="114">
        <v>17</v>
      </c>
      <c r="Q6" s="114">
        <v>11.8</v>
      </c>
      <c r="R6" s="114" t="s">
        <v>24</v>
      </c>
    </row>
    <row r="7" spans="1:18" s="106" customFormat="1" x14ac:dyDescent="0.3">
      <c r="A7" s="97"/>
      <c r="B7" s="110">
        <v>10</v>
      </c>
      <c r="C7" s="112" t="s">
        <v>326</v>
      </c>
      <c r="D7" s="112" t="s">
        <v>172</v>
      </c>
      <c r="E7" s="112" t="s">
        <v>85</v>
      </c>
      <c r="F7" s="112" t="s">
        <v>173</v>
      </c>
      <c r="G7" s="114">
        <v>77</v>
      </c>
      <c r="H7" s="114">
        <v>81.5</v>
      </c>
      <c r="I7" s="114">
        <v>85.8</v>
      </c>
      <c r="J7" s="114">
        <v>88.8</v>
      </c>
      <c r="K7" s="114">
        <v>90</v>
      </c>
      <c r="L7" s="114">
        <v>91.5</v>
      </c>
      <c r="M7" s="114">
        <v>92.1</v>
      </c>
      <c r="N7" s="114">
        <v>93.9</v>
      </c>
      <c r="O7" s="114">
        <v>85.3</v>
      </c>
      <c r="P7" s="114">
        <v>86.3</v>
      </c>
      <c r="Q7" s="114">
        <v>90.2</v>
      </c>
      <c r="R7" s="114" t="s">
        <v>24</v>
      </c>
    </row>
    <row r="8" spans="1:18" s="106" customFormat="1" x14ac:dyDescent="0.3">
      <c r="A8" s="97"/>
      <c r="B8" s="110">
        <v>10</v>
      </c>
      <c r="C8" s="112" t="s">
        <v>326</v>
      </c>
      <c r="D8" s="112" t="s">
        <v>295</v>
      </c>
      <c r="E8" s="112" t="s">
        <v>296</v>
      </c>
      <c r="F8" s="112" t="s">
        <v>173</v>
      </c>
      <c r="G8" s="114">
        <v>34.9</v>
      </c>
      <c r="H8" s="114">
        <v>32.9</v>
      </c>
      <c r="I8" s="114">
        <v>35</v>
      </c>
      <c r="J8" s="114">
        <v>36.5</v>
      </c>
      <c r="K8" s="114">
        <v>37.1</v>
      </c>
      <c r="L8" s="114">
        <v>35.6</v>
      </c>
      <c r="M8" s="114">
        <v>32.299999999999997</v>
      </c>
      <c r="N8" s="114">
        <v>36.6</v>
      </c>
      <c r="O8" s="114">
        <v>20.8</v>
      </c>
      <c r="P8" s="114">
        <v>27.7</v>
      </c>
      <c r="Q8" s="114">
        <v>30.9</v>
      </c>
      <c r="R8" s="114" t="s">
        <v>24</v>
      </c>
    </row>
    <row r="9" spans="1:18" s="106" customFormat="1" x14ac:dyDescent="0.3">
      <c r="A9" s="97"/>
      <c r="B9" s="110">
        <v>11</v>
      </c>
      <c r="C9" s="112" t="s">
        <v>13</v>
      </c>
      <c r="D9" s="112" t="s">
        <v>306</v>
      </c>
      <c r="E9" s="112" t="s">
        <v>85</v>
      </c>
      <c r="F9" s="112" t="s">
        <v>175</v>
      </c>
      <c r="G9" s="114" t="s">
        <v>24</v>
      </c>
      <c r="H9" s="114" t="s">
        <v>24</v>
      </c>
      <c r="I9" s="114" t="s">
        <v>24</v>
      </c>
      <c r="J9" s="114">
        <f>8137/15412*100</f>
        <v>52.796522190500909</v>
      </c>
      <c r="K9" s="107">
        <v>0</v>
      </c>
      <c r="L9" s="114">
        <f>10932/37201*100</f>
        <v>29.386306819709144</v>
      </c>
      <c r="M9" s="114">
        <f>10120/35865*100</f>
        <v>28.216924578279663</v>
      </c>
      <c r="N9" s="114">
        <f>4554/24590*100</f>
        <v>18.519723464823098</v>
      </c>
      <c r="O9" s="114">
        <v>0</v>
      </c>
      <c r="P9" s="114">
        <v>0</v>
      </c>
      <c r="Q9" s="114">
        <v>0</v>
      </c>
      <c r="R9" s="114" t="s">
        <v>24</v>
      </c>
    </row>
    <row r="10" spans="1:18" s="106" customFormat="1" ht="15" customHeight="1" x14ac:dyDescent="0.3">
      <c r="A10" s="97"/>
      <c r="B10" s="110">
        <v>12</v>
      </c>
      <c r="C10" s="112" t="s">
        <v>324</v>
      </c>
      <c r="D10" s="112" t="s">
        <v>174</v>
      </c>
      <c r="E10" s="112" t="s">
        <v>85</v>
      </c>
      <c r="F10" s="112" t="s">
        <v>173</v>
      </c>
      <c r="G10" s="114">
        <v>39.200000000000003</v>
      </c>
      <c r="H10" s="114">
        <v>40</v>
      </c>
      <c r="I10" s="114">
        <v>41.5</v>
      </c>
      <c r="J10" s="114">
        <v>42.9</v>
      </c>
      <c r="K10" s="114">
        <v>44.4</v>
      </c>
      <c r="L10" s="114">
        <v>38.9</v>
      </c>
      <c r="M10" s="114">
        <v>37.5</v>
      </c>
      <c r="N10" s="114">
        <v>30.8</v>
      </c>
      <c r="O10" s="114">
        <v>29.1</v>
      </c>
      <c r="P10" s="124">
        <v>26.8</v>
      </c>
      <c r="Q10" s="124">
        <v>29.2</v>
      </c>
      <c r="R10" s="114" t="s">
        <v>24</v>
      </c>
    </row>
    <row r="11" spans="1:18" s="106" customFormat="1" x14ac:dyDescent="0.3">
      <c r="A11" s="97"/>
      <c r="B11" s="110">
        <v>12</v>
      </c>
      <c r="C11" s="112" t="s">
        <v>324</v>
      </c>
      <c r="D11" s="112" t="s">
        <v>297</v>
      </c>
      <c r="E11" s="112" t="s">
        <v>298</v>
      </c>
      <c r="F11" s="112" t="s">
        <v>173</v>
      </c>
      <c r="G11" s="114">
        <v>21</v>
      </c>
      <c r="H11" s="114">
        <v>20</v>
      </c>
      <c r="I11" s="114">
        <v>20</v>
      </c>
      <c r="J11" s="114">
        <v>20</v>
      </c>
      <c r="K11" s="114">
        <v>20</v>
      </c>
      <c r="L11" s="114">
        <v>20</v>
      </c>
      <c r="M11" s="114">
        <v>20</v>
      </c>
      <c r="N11" s="114">
        <v>21</v>
      </c>
      <c r="O11" s="114">
        <v>22</v>
      </c>
      <c r="P11" s="124">
        <v>22</v>
      </c>
      <c r="Q11" s="124">
        <v>22</v>
      </c>
      <c r="R11" s="114" t="s">
        <v>24</v>
      </c>
    </row>
    <row r="12" spans="1:18" s="106" customFormat="1" x14ac:dyDescent="0.3">
      <c r="A12" s="97"/>
      <c r="B12" s="110">
        <v>12</v>
      </c>
      <c r="C12" s="112" t="s">
        <v>324</v>
      </c>
      <c r="D12" s="112" t="s">
        <v>299</v>
      </c>
      <c r="E12" s="112" t="s">
        <v>298</v>
      </c>
      <c r="F12" s="112" t="s">
        <v>173</v>
      </c>
      <c r="G12" s="114">
        <v>16</v>
      </c>
      <c r="H12" s="114">
        <v>15</v>
      </c>
      <c r="I12" s="114">
        <v>15</v>
      </c>
      <c r="J12" s="114">
        <v>14</v>
      </c>
      <c r="K12" s="114">
        <v>14</v>
      </c>
      <c r="L12" s="114">
        <v>13</v>
      </c>
      <c r="M12" s="114">
        <v>13</v>
      </c>
      <c r="N12" s="114">
        <v>13</v>
      </c>
      <c r="O12" s="114">
        <v>13</v>
      </c>
      <c r="P12" s="114">
        <v>13</v>
      </c>
      <c r="Q12" s="114">
        <v>13</v>
      </c>
      <c r="R12" s="114" t="s">
        <v>24</v>
      </c>
    </row>
    <row r="13" spans="1:18" s="106" customFormat="1" x14ac:dyDescent="0.3">
      <c r="A13" s="97"/>
      <c r="B13" s="110">
        <v>13</v>
      </c>
      <c r="C13" s="112" t="s">
        <v>325</v>
      </c>
      <c r="D13" s="112" t="s">
        <v>300</v>
      </c>
      <c r="E13" s="112" t="s">
        <v>301</v>
      </c>
      <c r="F13" s="112" t="s">
        <v>175</v>
      </c>
      <c r="G13" s="114">
        <v>0</v>
      </c>
      <c r="H13" s="114">
        <v>1</v>
      </c>
      <c r="I13" s="114">
        <v>0</v>
      </c>
      <c r="J13" s="114">
        <v>0</v>
      </c>
      <c r="K13" s="114">
        <v>1</v>
      </c>
      <c r="L13" s="114">
        <v>1</v>
      </c>
      <c r="M13" s="114">
        <v>1</v>
      </c>
      <c r="N13" s="114">
        <v>1</v>
      </c>
      <c r="O13" s="114">
        <v>3</v>
      </c>
      <c r="P13" s="124">
        <v>3</v>
      </c>
      <c r="Q13" s="124">
        <v>2</v>
      </c>
      <c r="R13" s="114">
        <v>2</v>
      </c>
    </row>
    <row r="14" spans="1:18" s="106" customFormat="1" x14ac:dyDescent="0.3">
      <c r="A14" s="97"/>
      <c r="B14" s="110">
        <v>13</v>
      </c>
      <c r="C14" s="112" t="s">
        <v>325</v>
      </c>
      <c r="D14" s="112" t="s">
        <v>302</v>
      </c>
      <c r="E14" s="112" t="s">
        <v>85</v>
      </c>
      <c r="F14" s="112" t="s">
        <v>303</v>
      </c>
      <c r="G14" s="114">
        <v>62.515136471284784</v>
      </c>
      <c r="H14" s="114">
        <v>70.606094226098321</v>
      </c>
      <c r="I14" s="114">
        <v>75.768472460776223</v>
      </c>
      <c r="J14" s="114">
        <v>78.354634876885967</v>
      </c>
      <c r="K14" s="114">
        <v>75.128932660658421</v>
      </c>
      <c r="L14" s="114">
        <v>78.570022282479272</v>
      </c>
      <c r="M14" s="114">
        <v>76.981082142158897</v>
      </c>
      <c r="N14" s="114">
        <v>77.989553047876086</v>
      </c>
      <c r="O14" s="114">
        <v>66.123954841466158</v>
      </c>
      <c r="P14" s="124">
        <v>76.404586137650426</v>
      </c>
      <c r="Q14" s="124">
        <v>78.335455766751167</v>
      </c>
      <c r="R14" s="114" t="s">
        <v>24</v>
      </c>
    </row>
    <row r="16" spans="1:18" ht="14.5" x14ac:dyDescent="0.35">
      <c r="C16" s="115"/>
    </row>
  </sheetData>
  <conditionalFormatting sqref="G6:P8 L5:P5 L9:P9 G5:J5 G9:J9 Q5:R9 G10:R14">
    <cfRule type="cellIs" dxfId="3" priority="6" operator="equal">
      <formula>"n.d."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9"/>
  <sheetViews>
    <sheetView showGridLines="0" zoomScale="70" zoomScaleNormal="70" workbookViewId="0">
      <selection activeCell="V9" sqref="V9"/>
    </sheetView>
  </sheetViews>
  <sheetFormatPr baseColWidth="10" defaultColWidth="8.7265625" defaultRowHeight="14" x14ac:dyDescent="0.3"/>
  <cols>
    <col min="1" max="1" width="3.1796875" style="92" customWidth="1"/>
    <col min="2" max="2" width="13.1796875" style="92" customWidth="1"/>
    <col min="3" max="3" width="46.81640625" style="92" customWidth="1"/>
    <col min="4" max="4" width="54.26953125" style="92" customWidth="1"/>
    <col min="5" max="5" width="31.453125" style="92" customWidth="1"/>
    <col min="6" max="6" width="32.26953125" style="92" customWidth="1"/>
    <col min="7" max="20" width="8.7265625" style="92"/>
    <col min="21" max="22" width="9.1796875" style="94" customWidth="1"/>
    <col min="23" max="16384" width="8.7265625" style="94"/>
  </cols>
  <sheetData>
    <row r="2" spans="1:20" ht="18" x14ac:dyDescent="0.3">
      <c r="B2" s="93" t="s">
        <v>320</v>
      </c>
    </row>
    <row r="3" spans="1:20" x14ac:dyDescent="0.3"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</row>
    <row r="4" spans="1:20" x14ac:dyDescent="0.3">
      <c r="B4" s="95" t="s">
        <v>316</v>
      </c>
      <c r="C4" s="95" t="s">
        <v>16</v>
      </c>
      <c r="D4" s="95" t="s">
        <v>17</v>
      </c>
      <c r="E4" s="95" t="s">
        <v>18</v>
      </c>
      <c r="F4" s="95" t="s">
        <v>19</v>
      </c>
      <c r="G4" s="95">
        <v>2010</v>
      </c>
      <c r="H4" s="95">
        <v>2011</v>
      </c>
      <c r="I4" s="95">
        <v>2012</v>
      </c>
      <c r="J4" s="95">
        <v>2013</v>
      </c>
      <c r="K4" s="95">
        <v>2014</v>
      </c>
      <c r="L4" s="95">
        <v>2015</v>
      </c>
      <c r="M4" s="95">
        <v>2016</v>
      </c>
      <c r="N4" s="95">
        <v>2017</v>
      </c>
      <c r="O4" s="95">
        <v>2018</v>
      </c>
      <c r="P4" s="95">
        <v>2019</v>
      </c>
      <c r="Q4" s="95">
        <v>2020</v>
      </c>
      <c r="R4" s="95">
        <v>2021</v>
      </c>
      <c r="S4" s="95">
        <v>2022</v>
      </c>
      <c r="T4" s="95">
        <v>2023</v>
      </c>
    </row>
    <row r="5" spans="1:20" s="106" customFormat="1" x14ac:dyDescent="0.3">
      <c r="A5" s="92"/>
      <c r="B5" s="110">
        <v>14</v>
      </c>
      <c r="C5" s="112" t="s">
        <v>9</v>
      </c>
      <c r="D5" s="112" t="s">
        <v>159</v>
      </c>
      <c r="E5" s="112" t="s">
        <v>25</v>
      </c>
      <c r="F5" s="112" t="s">
        <v>49</v>
      </c>
      <c r="G5" s="114">
        <v>30.773238357682992</v>
      </c>
      <c r="H5" s="114">
        <v>27.824270000000002</v>
      </c>
      <c r="I5" s="114">
        <v>25.810889999999997</v>
      </c>
      <c r="J5" s="114">
        <v>23.911744656441176</v>
      </c>
      <c r="K5" s="114">
        <v>22.727381421766662</v>
      </c>
      <c r="L5" s="114">
        <v>21.77164808070491</v>
      </c>
      <c r="M5" s="114">
        <v>20.742382536502134</v>
      </c>
      <c r="N5" s="114">
        <v>21.699987027828715</v>
      </c>
      <c r="O5" s="114">
        <v>20.487972608114941</v>
      </c>
      <c r="P5" s="114">
        <v>20.193379926918801</v>
      </c>
      <c r="Q5" s="114">
        <v>30.133153077386137</v>
      </c>
      <c r="R5" s="114">
        <v>25.9</v>
      </c>
      <c r="S5" s="114">
        <v>27.5</v>
      </c>
      <c r="T5" s="114" t="s">
        <v>24</v>
      </c>
    </row>
    <row r="6" spans="1:20" s="106" customFormat="1" x14ac:dyDescent="0.3">
      <c r="A6" s="92"/>
      <c r="B6" s="110">
        <v>14</v>
      </c>
      <c r="C6" s="112" t="s">
        <v>9</v>
      </c>
      <c r="D6" s="112" t="s">
        <v>160</v>
      </c>
      <c r="E6" s="112" t="s">
        <v>161</v>
      </c>
      <c r="F6" s="112" t="s">
        <v>307</v>
      </c>
      <c r="G6" s="114">
        <v>1.9694999999999965</v>
      </c>
      <c r="H6" s="114">
        <v>1.1373000000000033</v>
      </c>
      <c r="I6" s="114">
        <v>2.4467999999999961</v>
      </c>
      <c r="J6" s="114">
        <v>0.40690000000000737</v>
      </c>
      <c r="K6" s="114">
        <v>0.43919999999999959</v>
      </c>
      <c r="L6" s="114">
        <v>0.80529999999998836</v>
      </c>
      <c r="M6" s="114">
        <v>1.2835000000000036</v>
      </c>
      <c r="N6" s="114">
        <v>1.0622000000000043</v>
      </c>
      <c r="O6" s="114">
        <v>1.1559000000000026</v>
      </c>
      <c r="P6" s="114">
        <v>1.5078999999999922</v>
      </c>
      <c r="Q6" s="114">
        <v>-1.1047999999999973</v>
      </c>
      <c r="R6" s="114">
        <v>8.3299999999994156E-2</v>
      </c>
      <c r="S6" s="114">
        <v>-0.2</v>
      </c>
      <c r="T6" s="114" t="s">
        <v>24</v>
      </c>
    </row>
    <row r="7" spans="1:20" s="106" customFormat="1" ht="15" customHeight="1" x14ac:dyDescent="0.3">
      <c r="A7" s="92"/>
      <c r="B7" s="110">
        <v>15</v>
      </c>
      <c r="C7" s="112" t="s">
        <v>10</v>
      </c>
      <c r="D7" s="112" t="s">
        <v>162</v>
      </c>
      <c r="E7" s="112" t="s">
        <v>161</v>
      </c>
      <c r="F7" s="112" t="s">
        <v>307</v>
      </c>
      <c r="G7" s="114">
        <v>4.8401795599999993</v>
      </c>
      <c r="H7" s="114">
        <v>0.76793509000000171</v>
      </c>
      <c r="I7" s="114">
        <v>0.89493089999999853</v>
      </c>
      <c r="J7" s="114">
        <v>0.81848388000000227</v>
      </c>
      <c r="K7" s="114">
        <v>0.95314443999999909</v>
      </c>
      <c r="L7" s="114">
        <v>0.80720041000000009</v>
      </c>
      <c r="M7" s="114">
        <v>0.70496140999999923</v>
      </c>
      <c r="N7" s="114">
        <v>0.72402436000000137</v>
      </c>
      <c r="O7" s="114">
        <v>0.74832568000000066</v>
      </c>
      <c r="P7" s="114">
        <v>0.72488096000000013</v>
      </c>
      <c r="Q7" s="114">
        <v>0.77069297999999975</v>
      </c>
      <c r="R7" s="114">
        <v>0.85260164999999688</v>
      </c>
      <c r="S7" s="114">
        <v>0.94477192000000088</v>
      </c>
      <c r="T7" s="114" t="s">
        <v>24</v>
      </c>
    </row>
    <row r="8" spans="1:20" s="106" customFormat="1" ht="15" customHeight="1" x14ac:dyDescent="0.3">
      <c r="A8" s="92"/>
      <c r="B8" s="110">
        <v>15</v>
      </c>
      <c r="C8" s="112" t="s">
        <v>10</v>
      </c>
      <c r="D8" s="112" t="s">
        <v>163</v>
      </c>
      <c r="E8" s="112" t="s">
        <v>164</v>
      </c>
      <c r="F8" s="112" t="s">
        <v>307</v>
      </c>
      <c r="G8" s="114" t="s">
        <v>24</v>
      </c>
      <c r="H8" s="114" t="s">
        <v>24</v>
      </c>
      <c r="I8" s="114" t="s">
        <v>24</v>
      </c>
      <c r="J8" s="114" t="s">
        <v>24</v>
      </c>
      <c r="K8" s="114">
        <v>25.791653950000001</v>
      </c>
      <c r="L8" s="114">
        <v>31.860080150000002</v>
      </c>
      <c r="M8" s="114">
        <v>41.304151589999996</v>
      </c>
      <c r="N8" s="114">
        <v>54.15804593</v>
      </c>
      <c r="O8" s="114">
        <v>55.840226289999997</v>
      </c>
      <c r="P8" s="114">
        <v>60.726142029999998</v>
      </c>
      <c r="Q8" s="114">
        <v>46.304696939999999</v>
      </c>
      <c r="R8" s="114">
        <v>52.888530090000003</v>
      </c>
      <c r="S8" s="114">
        <v>55.940769830000001</v>
      </c>
      <c r="T8" s="114" t="s">
        <v>24</v>
      </c>
    </row>
    <row r="9" spans="1:20" s="106" customFormat="1" ht="15" customHeight="1" x14ac:dyDescent="0.3">
      <c r="A9" s="92"/>
      <c r="B9" s="110">
        <v>16</v>
      </c>
      <c r="C9" s="112" t="s">
        <v>11</v>
      </c>
      <c r="D9" s="112" t="s">
        <v>287</v>
      </c>
      <c r="E9" s="112" t="s">
        <v>78</v>
      </c>
      <c r="F9" s="112" t="s">
        <v>308</v>
      </c>
      <c r="G9" s="114">
        <v>5.9673753349259329</v>
      </c>
      <c r="H9" s="114">
        <v>9.4586334057701151</v>
      </c>
      <c r="I9" s="114">
        <v>4.5300468236534357</v>
      </c>
      <c r="J9" s="114">
        <v>1.9152198266328924</v>
      </c>
      <c r="K9" s="114">
        <v>1.1093641451737994</v>
      </c>
      <c r="L9" s="114">
        <v>2.985671710374092</v>
      </c>
      <c r="M9" s="114">
        <v>3.3840143436370198</v>
      </c>
      <c r="N9" s="114">
        <v>-1.0775199484142917</v>
      </c>
      <c r="O9" s="114">
        <v>1.7131346560920804</v>
      </c>
      <c r="P9" s="114">
        <v>-0.24079161874924182</v>
      </c>
      <c r="Q9" s="114">
        <v>-6.1132306148198126</v>
      </c>
      <c r="R9" s="114">
        <v>-2.7627960360870247</v>
      </c>
      <c r="S9" s="114">
        <v>4.2</v>
      </c>
      <c r="T9" s="114">
        <v>0.9</v>
      </c>
    </row>
    <row r="10" spans="1:20" s="106" customFormat="1" ht="15" customHeight="1" x14ac:dyDescent="0.3">
      <c r="A10" s="92"/>
      <c r="B10" s="110">
        <v>16</v>
      </c>
      <c r="C10" s="112" t="s">
        <v>11</v>
      </c>
      <c r="D10" s="112" t="s">
        <v>288</v>
      </c>
      <c r="E10" s="112" t="s">
        <v>78</v>
      </c>
      <c r="F10" s="112" t="s">
        <v>289</v>
      </c>
      <c r="G10" s="114" t="s">
        <v>24</v>
      </c>
      <c r="H10" s="114">
        <v>-11.428878440608784</v>
      </c>
      <c r="I10" s="114">
        <v>11.152064847013094</v>
      </c>
      <c r="J10" s="114">
        <v>0.72223467310566036</v>
      </c>
      <c r="K10" s="114">
        <v>7.5636344311666619</v>
      </c>
      <c r="L10" s="114">
        <v>3.2475494014248483</v>
      </c>
      <c r="M10" s="114">
        <v>3.0314260549229317</v>
      </c>
      <c r="N10" s="114">
        <v>8.5570922952969255</v>
      </c>
      <c r="O10" s="114">
        <v>-5.2269245730943368</v>
      </c>
      <c r="P10" s="114">
        <v>8.6366356674818547</v>
      </c>
      <c r="Q10" s="114">
        <v>10.759546520934919</v>
      </c>
      <c r="R10" s="114">
        <v>-34.332490649874217</v>
      </c>
      <c r="S10" s="114">
        <v>-30.6</v>
      </c>
      <c r="T10" s="114">
        <v>5.4351754661178973</v>
      </c>
    </row>
    <row r="11" spans="1:20" s="106" customFormat="1" ht="15" customHeight="1" x14ac:dyDescent="0.3">
      <c r="A11" s="92"/>
      <c r="B11" s="110">
        <v>17</v>
      </c>
      <c r="C11" s="112" t="s">
        <v>12</v>
      </c>
      <c r="D11" s="112" t="s">
        <v>166</v>
      </c>
      <c r="E11" s="112" t="s">
        <v>161</v>
      </c>
      <c r="F11" s="112" t="s">
        <v>307</v>
      </c>
      <c r="G11" s="114">
        <v>2.0038599999999995</v>
      </c>
      <c r="H11" s="114">
        <v>3.3427300000000013</v>
      </c>
      <c r="I11" s="114">
        <v>3.7800200000000004</v>
      </c>
      <c r="J11" s="114">
        <v>1.9060299999999977</v>
      </c>
      <c r="K11" s="114">
        <v>1.4285300000000021</v>
      </c>
      <c r="L11" s="114">
        <v>-0.32142999999999944</v>
      </c>
      <c r="M11" s="114">
        <v>3.2058599999999977</v>
      </c>
      <c r="N11" s="114">
        <v>1.8047600000000017</v>
      </c>
      <c r="O11" s="114">
        <v>1.616109999999999</v>
      </c>
      <c r="P11" s="114">
        <v>6.0726200000000006</v>
      </c>
      <c r="Q11" s="114">
        <v>2.8676099999999991</v>
      </c>
      <c r="R11" s="114">
        <v>9.9179999999999993</v>
      </c>
      <c r="S11" s="114">
        <v>6.6</v>
      </c>
      <c r="T11" s="114" t="s">
        <v>24</v>
      </c>
    </row>
    <row r="12" spans="1:20" s="106" customFormat="1" x14ac:dyDescent="0.3">
      <c r="A12" s="92"/>
      <c r="B12" s="110">
        <v>17</v>
      </c>
      <c r="C12" s="112" t="s">
        <v>12</v>
      </c>
      <c r="D12" s="112" t="s">
        <v>167</v>
      </c>
      <c r="E12" s="112" t="s">
        <v>161</v>
      </c>
      <c r="F12" s="112" t="s">
        <v>307</v>
      </c>
      <c r="G12" s="114">
        <v>7.7661087899999988</v>
      </c>
      <c r="H12" s="114">
        <v>-0.39999999999999858</v>
      </c>
      <c r="I12" s="114">
        <v>9.9999999999999964</v>
      </c>
      <c r="J12" s="114">
        <v>-1.4999999999999964</v>
      </c>
      <c r="K12" s="114">
        <v>3.4999999999999964</v>
      </c>
      <c r="L12" s="114">
        <v>5.8000000000000043</v>
      </c>
      <c r="M12" s="114">
        <v>7.2999999999999972</v>
      </c>
      <c r="N12" s="114">
        <v>-0.39999999999999858</v>
      </c>
      <c r="O12" s="114">
        <v>2.7000000000000028</v>
      </c>
      <c r="P12" s="114">
        <v>6.5999999999999943</v>
      </c>
      <c r="Q12" s="114">
        <v>0</v>
      </c>
      <c r="R12" s="114">
        <v>2.2171636899999996</v>
      </c>
      <c r="S12" s="114">
        <v>-3.2</v>
      </c>
      <c r="T12" s="114" t="s">
        <v>24</v>
      </c>
    </row>
    <row r="13" spans="1:20" s="106" customFormat="1" x14ac:dyDescent="0.3">
      <c r="A13" s="92"/>
      <c r="B13" s="110">
        <v>18</v>
      </c>
      <c r="C13" s="112" t="s">
        <v>14</v>
      </c>
      <c r="D13" s="112" t="s">
        <v>181</v>
      </c>
      <c r="E13" s="112" t="s">
        <v>290</v>
      </c>
      <c r="F13" s="112" t="s">
        <v>182</v>
      </c>
      <c r="G13" s="114" t="s">
        <v>24</v>
      </c>
      <c r="H13" s="114" t="s">
        <v>24</v>
      </c>
      <c r="I13" s="114" t="s">
        <v>24</v>
      </c>
      <c r="J13" s="114" t="s">
        <v>24</v>
      </c>
      <c r="K13" s="114" t="s">
        <v>24</v>
      </c>
      <c r="L13" s="114" t="s">
        <v>24</v>
      </c>
      <c r="M13" s="114" t="s">
        <v>24</v>
      </c>
      <c r="N13" s="114" t="s">
        <v>24</v>
      </c>
      <c r="O13" s="114">
        <v>34</v>
      </c>
      <c r="P13" s="114">
        <v>35</v>
      </c>
      <c r="Q13" s="114" t="s">
        <v>24</v>
      </c>
      <c r="R13" s="114">
        <v>40</v>
      </c>
      <c r="S13" s="114">
        <v>48</v>
      </c>
      <c r="T13" s="114">
        <v>45.3</v>
      </c>
    </row>
    <row r="14" spans="1:20" s="120" customFormat="1" x14ac:dyDescent="0.25">
      <c r="A14" s="103"/>
      <c r="B14" s="110">
        <v>18</v>
      </c>
      <c r="C14" s="113" t="s">
        <v>14</v>
      </c>
      <c r="D14" s="116" t="s">
        <v>177</v>
      </c>
      <c r="E14" s="116" t="s">
        <v>291</v>
      </c>
      <c r="F14" s="117" t="s">
        <v>176</v>
      </c>
      <c r="G14" s="114" t="s">
        <v>24</v>
      </c>
      <c r="H14" s="114" t="s">
        <v>24</v>
      </c>
      <c r="I14" s="114" t="s">
        <v>24</v>
      </c>
      <c r="J14" s="114" t="s">
        <v>24</v>
      </c>
      <c r="K14" s="114" t="s">
        <v>24</v>
      </c>
      <c r="L14" s="114" t="s">
        <v>24</v>
      </c>
      <c r="M14" s="114" t="s">
        <v>24</v>
      </c>
      <c r="N14" s="118" t="s">
        <v>24</v>
      </c>
      <c r="O14" s="118" t="s">
        <v>24</v>
      </c>
      <c r="P14" s="119">
        <v>18.970000000000002</v>
      </c>
      <c r="Q14" s="119">
        <v>21.33</v>
      </c>
      <c r="R14" s="119">
        <v>23.68</v>
      </c>
      <c r="S14" s="114">
        <v>20</v>
      </c>
      <c r="T14" s="114" t="s">
        <v>24</v>
      </c>
    </row>
    <row r="15" spans="1:20" s="120" customFormat="1" x14ac:dyDescent="0.25">
      <c r="A15" s="103"/>
      <c r="B15" s="110">
        <v>18</v>
      </c>
      <c r="C15" s="113" t="s">
        <v>14</v>
      </c>
      <c r="D15" s="116" t="s">
        <v>292</v>
      </c>
      <c r="E15" s="116" t="s">
        <v>293</v>
      </c>
      <c r="F15" s="117" t="s">
        <v>176</v>
      </c>
      <c r="G15" s="114" t="s">
        <v>24</v>
      </c>
      <c r="H15" s="114" t="s">
        <v>24</v>
      </c>
      <c r="I15" s="114" t="s">
        <v>24</v>
      </c>
      <c r="J15" s="114" t="s">
        <v>24</v>
      </c>
      <c r="K15" s="114" t="s">
        <v>24</v>
      </c>
      <c r="L15" s="114" t="s">
        <v>24</v>
      </c>
      <c r="M15" s="114" t="s">
        <v>24</v>
      </c>
      <c r="N15" s="119">
        <v>23.830000000000002</v>
      </c>
      <c r="O15" s="119">
        <v>28.23</v>
      </c>
      <c r="P15" s="119">
        <v>32.590000000000003</v>
      </c>
      <c r="Q15" s="119">
        <v>30.819999999999997</v>
      </c>
      <c r="R15" s="119">
        <v>36.22</v>
      </c>
      <c r="S15" s="114">
        <v>33.479999999999997</v>
      </c>
      <c r="T15" s="114" t="s">
        <v>24</v>
      </c>
    </row>
    <row r="16" spans="1:20" s="120" customFormat="1" x14ac:dyDescent="0.25">
      <c r="A16" s="103"/>
      <c r="B16" s="110">
        <v>18</v>
      </c>
      <c r="C16" s="113" t="s">
        <v>14</v>
      </c>
      <c r="D16" s="116" t="s">
        <v>178</v>
      </c>
      <c r="E16" s="116" t="s">
        <v>179</v>
      </c>
      <c r="F16" s="117" t="s">
        <v>180</v>
      </c>
      <c r="G16" s="118">
        <v>23.615192084035797</v>
      </c>
      <c r="H16" s="118">
        <v>25.494977059541711</v>
      </c>
      <c r="I16" s="118">
        <v>18.783314986304035</v>
      </c>
      <c r="J16" s="118">
        <v>21.495616059196585</v>
      </c>
      <c r="K16" s="118">
        <v>16.680363736016425</v>
      </c>
      <c r="L16" s="118">
        <v>14.481660811746222</v>
      </c>
      <c r="M16" s="118">
        <v>15.070638302812567</v>
      </c>
      <c r="N16" s="119">
        <v>15.924701825391875</v>
      </c>
      <c r="O16" s="119">
        <v>16.573634509445533</v>
      </c>
      <c r="P16" s="119">
        <v>17.938772632338406</v>
      </c>
      <c r="Q16" s="119">
        <v>11.634162100092627</v>
      </c>
      <c r="R16" s="119">
        <v>17.118316856240124</v>
      </c>
      <c r="S16" s="114">
        <v>14.1</v>
      </c>
      <c r="T16" s="114" t="s">
        <v>24</v>
      </c>
    </row>
    <row r="17" spans="2:21" x14ac:dyDescent="0.3">
      <c r="B17" s="110">
        <v>18</v>
      </c>
      <c r="C17" s="113" t="s">
        <v>14</v>
      </c>
      <c r="D17" s="112" t="s">
        <v>341</v>
      </c>
      <c r="E17" s="92" t="s">
        <v>342</v>
      </c>
      <c r="F17" s="92" t="s">
        <v>286</v>
      </c>
      <c r="G17" s="114" t="s">
        <v>24</v>
      </c>
      <c r="H17" s="114" t="s">
        <v>24</v>
      </c>
      <c r="I17" s="114" t="s">
        <v>24</v>
      </c>
      <c r="J17" s="114" t="s">
        <v>24</v>
      </c>
      <c r="K17" s="114" t="s">
        <v>24</v>
      </c>
      <c r="L17" s="114" t="s">
        <v>24</v>
      </c>
      <c r="M17" s="114" t="s">
        <v>24</v>
      </c>
      <c r="N17" s="114" t="s">
        <v>24</v>
      </c>
      <c r="O17" s="114" t="s">
        <v>24</v>
      </c>
      <c r="P17" s="114" t="s">
        <v>24</v>
      </c>
      <c r="Q17" s="114" t="s">
        <v>24</v>
      </c>
      <c r="R17" s="114" t="s">
        <v>24</v>
      </c>
      <c r="S17" s="114">
        <v>49.5</v>
      </c>
      <c r="T17" s="114">
        <v>41.3</v>
      </c>
    </row>
    <row r="18" spans="2:21" x14ac:dyDescent="0.3">
      <c r="U18" s="92"/>
    </row>
    <row r="19" spans="2:21" ht="14.5" x14ac:dyDescent="0.35">
      <c r="B19" s="115"/>
    </row>
  </sheetData>
  <conditionalFormatting sqref="G5:R16">
    <cfRule type="cellIs" dxfId="2" priority="14" operator="equal">
      <formula>"n.d."</formula>
    </cfRule>
  </conditionalFormatting>
  <conditionalFormatting sqref="S5:T17">
    <cfRule type="cellIs" dxfId="1" priority="2" operator="equal">
      <formula>"n.d."</formula>
    </cfRule>
  </conditionalFormatting>
  <conditionalFormatting sqref="G17:R17">
    <cfRule type="cellIs" dxfId="0" priority="7" operator="equal">
      <formula>"n.d."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7"/>
  <sheetViews>
    <sheetView showGridLines="0" zoomScale="70" zoomScaleNormal="70" workbookViewId="0">
      <selection activeCell="E58" sqref="E58"/>
    </sheetView>
  </sheetViews>
  <sheetFormatPr baseColWidth="10" defaultColWidth="8.7265625" defaultRowHeight="14" x14ac:dyDescent="0.3"/>
  <cols>
    <col min="1" max="1" width="3.1796875" style="92" customWidth="1"/>
    <col min="2" max="2" width="12.54296875" style="92" bestFit="1" customWidth="1"/>
    <col min="3" max="3" width="77.1796875" style="92" bestFit="1" customWidth="1"/>
    <col min="4" max="4" width="87.81640625" style="92" bestFit="1" customWidth="1"/>
    <col min="5" max="5" width="35.453125" style="92" bestFit="1" customWidth="1"/>
    <col min="6" max="16384" width="8.7265625" style="94"/>
  </cols>
  <sheetData>
    <row r="2" spans="2:7" ht="18" x14ac:dyDescent="0.3">
      <c r="B2" s="93" t="s">
        <v>317</v>
      </c>
    </row>
    <row r="5" spans="2:7" x14ac:dyDescent="0.3">
      <c r="B5" s="95" t="s">
        <v>316</v>
      </c>
      <c r="C5" s="95" t="s">
        <v>16</v>
      </c>
      <c r="D5" s="95" t="s">
        <v>17</v>
      </c>
      <c r="E5" s="95" t="s">
        <v>38</v>
      </c>
    </row>
    <row r="6" spans="2:7" x14ac:dyDescent="0.3">
      <c r="B6" s="96">
        <v>1</v>
      </c>
      <c r="C6" s="92" t="s">
        <v>2</v>
      </c>
      <c r="D6" s="97" t="s">
        <v>21</v>
      </c>
      <c r="E6" s="92" t="s">
        <v>39</v>
      </c>
    </row>
    <row r="7" spans="2:7" x14ac:dyDescent="0.3">
      <c r="B7" s="96">
        <v>1</v>
      </c>
      <c r="C7" s="92" t="s">
        <v>2</v>
      </c>
      <c r="D7" s="92" t="s">
        <v>328</v>
      </c>
      <c r="E7" s="92" t="s">
        <v>40</v>
      </c>
    </row>
    <row r="8" spans="2:7" x14ac:dyDescent="0.3">
      <c r="B8" s="96">
        <v>2</v>
      </c>
      <c r="C8" s="92" t="s">
        <v>3</v>
      </c>
      <c r="D8" s="99" t="s">
        <v>26</v>
      </c>
      <c r="E8" s="92" t="s">
        <v>41</v>
      </c>
    </row>
    <row r="9" spans="2:7" x14ac:dyDescent="0.3">
      <c r="B9" s="96">
        <v>2</v>
      </c>
      <c r="C9" s="92" t="s">
        <v>3</v>
      </c>
      <c r="D9" s="92" t="s">
        <v>28</v>
      </c>
      <c r="E9" s="92" t="s">
        <v>39</v>
      </c>
    </row>
    <row r="10" spans="2:7" x14ac:dyDescent="0.3">
      <c r="B10" s="96">
        <v>2</v>
      </c>
      <c r="C10" s="92" t="s">
        <v>3</v>
      </c>
      <c r="D10" s="92" t="s">
        <v>329</v>
      </c>
      <c r="E10" s="92" t="s">
        <v>41</v>
      </c>
    </row>
    <row r="11" spans="2:7" x14ac:dyDescent="0.3">
      <c r="B11" s="102">
        <v>2</v>
      </c>
      <c r="C11" s="103" t="s">
        <v>3</v>
      </c>
      <c r="D11" s="103" t="s">
        <v>332</v>
      </c>
      <c r="E11" s="92" t="s">
        <v>343</v>
      </c>
    </row>
    <row r="12" spans="2:7" x14ac:dyDescent="0.3">
      <c r="B12" s="102">
        <v>2</v>
      </c>
      <c r="C12" s="103" t="s">
        <v>3</v>
      </c>
      <c r="D12" s="103" t="s">
        <v>334</v>
      </c>
      <c r="E12" s="92" t="s">
        <v>343</v>
      </c>
    </row>
    <row r="13" spans="2:7" x14ac:dyDescent="0.3">
      <c r="B13" s="96">
        <v>3</v>
      </c>
      <c r="C13" s="92" t="s">
        <v>4</v>
      </c>
      <c r="D13" s="92" t="s">
        <v>30</v>
      </c>
      <c r="E13" s="92" t="s">
        <v>41</v>
      </c>
      <c r="F13" s="106"/>
      <c r="G13" s="106"/>
    </row>
    <row r="14" spans="2:7" x14ac:dyDescent="0.3">
      <c r="B14" s="96">
        <v>3</v>
      </c>
      <c r="C14" s="92" t="s">
        <v>4</v>
      </c>
      <c r="D14" s="92" t="s">
        <v>31</v>
      </c>
      <c r="E14" s="92" t="s">
        <v>41</v>
      </c>
    </row>
    <row r="15" spans="2:7" x14ac:dyDescent="0.3">
      <c r="B15" s="96">
        <v>4</v>
      </c>
      <c r="C15" s="92" t="s">
        <v>5</v>
      </c>
      <c r="D15" s="92" t="s">
        <v>34</v>
      </c>
      <c r="E15" s="92" t="s">
        <v>91</v>
      </c>
      <c r="F15" s="106"/>
      <c r="G15" s="106"/>
    </row>
    <row r="16" spans="2:7" x14ac:dyDescent="0.3">
      <c r="B16" s="96">
        <v>4</v>
      </c>
      <c r="C16" s="92" t="s">
        <v>5</v>
      </c>
      <c r="D16" s="92" t="s">
        <v>35</v>
      </c>
      <c r="E16" s="92" t="s">
        <v>91</v>
      </c>
      <c r="F16" s="106"/>
      <c r="G16" s="106"/>
    </row>
    <row r="17" spans="1:7" x14ac:dyDescent="0.3">
      <c r="B17" s="96"/>
      <c r="F17" s="106"/>
      <c r="G17" s="106"/>
    </row>
    <row r="18" spans="1:7" x14ac:dyDescent="0.3">
      <c r="B18" s="96"/>
      <c r="F18" s="106"/>
      <c r="G18" s="106"/>
    </row>
    <row r="19" spans="1:7" ht="18" x14ac:dyDescent="0.3">
      <c r="B19" s="93" t="s">
        <v>318</v>
      </c>
    </row>
    <row r="22" spans="1:7" x14ac:dyDescent="0.3">
      <c r="B22" s="95" t="s">
        <v>316</v>
      </c>
      <c r="C22" s="95" t="s">
        <v>16</v>
      </c>
      <c r="D22" s="95" t="s">
        <v>17</v>
      </c>
      <c r="E22" s="95" t="s">
        <v>38</v>
      </c>
    </row>
    <row r="23" spans="1:7" s="106" customFormat="1" x14ac:dyDescent="0.3">
      <c r="A23" s="92"/>
      <c r="B23" s="110">
        <v>5</v>
      </c>
      <c r="C23" s="111" t="s">
        <v>6</v>
      </c>
      <c r="D23" s="112" t="s">
        <v>43</v>
      </c>
      <c r="E23" s="111" t="s">
        <v>58</v>
      </c>
    </row>
    <row r="24" spans="1:7" s="106" customFormat="1" x14ac:dyDescent="0.3">
      <c r="A24" s="92"/>
      <c r="B24" s="110">
        <v>5</v>
      </c>
      <c r="C24" s="111" t="s">
        <v>6</v>
      </c>
      <c r="D24" s="112" t="s">
        <v>47</v>
      </c>
      <c r="E24" s="111" t="s">
        <v>59</v>
      </c>
    </row>
    <row r="25" spans="1:7" s="106" customFormat="1" x14ac:dyDescent="0.3">
      <c r="A25" s="92"/>
      <c r="B25" s="110">
        <v>6</v>
      </c>
      <c r="C25" s="112" t="s">
        <v>321</v>
      </c>
      <c r="D25" s="112" t="s">
        <v>50</v>
      </c>
      <c r="E25" s="111" t="s">
        <v>59</v>
      </c>
    </row>
    <row r="26" spans="1:7" s="106" customFormat="1" x14ac:dyDescent="0.3">
      <c r="A26" s="92"/>
      <c r="B26" s="110">
        <v>6</v>
      </c>
      <c r="C26" s="112" t="s">
        <v>321</v>
      </c>
      <c r="D26" s="112" t="s">
        <v>284</v>
      </c>
      <c r="E26" s="111" t="s">
        <v>41</v>
      </c>
    </row>
    <row r="27" spans="1:7" s="106" customFormat="1" x14ac:dyDescent="0.3">
      <c r="A27" s="92"/>
      <c r="B27" s="110">
        <v>7</v>
      </c>
      <c r="C27" s="111" t="s">
        <v>53</v>
      </c>
      <c r="D27" s="112" t="s">
        <v>54</v>
      </c>
      <c r="E27" s="111" t="s">
        <v>60</v>
      </c>
    </row>
    <row r="28" spans="1:7" s="106" customFormat="1" x14ac:dyDescent="0.3">
      <c r="A28" s="92"/>
      <c r="B28" s="110">
        <v>7</v>
      </c>
      <c r="C28" s="111" t="s">
        <v>53</v>
      </c>
      <c r="D28" s="112" t="s">
        <v>56</v>
      </c>
      <c r="E28" s="111" t="s">
        <v>59</v>
      </c>
    </row>
    <row r="29" spans="1:7" s="106" customFormat="1" x14ac:dyDescent="0.3">
      <c r="A29" s="92"/>
      <c r="B29" s="110">
        <v>8</v>
      </c>
      <c r="C29" s="113" t="s">
        <v>323</v>
      </c>
      <c r="D29" s="112" t="s">
        <v>336</v>
      </c>
      <c r="E29" s="111" t="s">
        <v>344</v>
      </c>
    </row>
    <row r="30" spans="1:7" s="106" customFormat="1" x14ac:dyDescent="0.3">
      <c r="A30" s="92"/>
      <c r="B30" s="110">
        <v>8</v>
      </c>
      <c r="C30" s="113" t="s">
        <v>323</v>
      </c>
      <c r="D30" s="112" t="s">
        <v>337</v>
      </c>
      <c r="E30" s="111" t="s">
        <v>343</v>
      </c>
    </row>
    <row r="31" spans="1:7" s="106" customFormat="1" x14ac:dyDescent="0.3">
      <c r="A31" s="92"/>
      <c r="B31" s="110">
        <v>9</v>
      </c>
      <c r="C31" s="113" t="s">
        <v>322</v>
      </c>
      <c r="D31" s="112" t="s">
        <v>338</v>
      </c>
      <c r="E31" s="111" t="s">
        <v>343</v>
      </c>
    </row>
    <row r="32" spans="1:7" s="106" customFormat="1" x14ac:dyDescent="0.3">
      <c r="A32" s="92"/>
      <c r="B32" s="110">
        <v>9</v>
      </c>
      <c r="C32" s="113" t="s">
        <v>322</v>
      </c>
      <c r="D32" s="92" t="s">
        <v>340</v>
      </c>
      <c r="E32" s="111" t="s">
        <v>344</v>
      </c>
    </row>
    <row r="35" spans="2:5" ht="18" x14ac:dyDescent="0.3">
      <c r="B35" s="93" t="s">
        <v>319</v>
      </c>
    </row>
    <row r="38" spans="2:5" x14ac:dyDescent="0.3">
      <c r="B38" s="95" t="s">
        <v>316</v>
      </c>
      <c r="C38" s="95" t="s">
        <v>16</v>
      </c>
      <c r="D38" s="95" t="s">
        <v>17</v>
      </c>
      <c r="E38" s="95" t="s">
        <v>38</v>
      </c>
    </row>
    <row r="39" spans="2:5" x14ac:dyDescent="0.3">
      <c r="B39" s="110">
        <v>10</v>
      </c>
      <c r="C39" s="112" t="s">
        <v>326</v>
      </c>
      <c r="D39" s="112" t="s">
        <v>345</v>
      </c>
      <c r="E39" s="121" t="s">
        <v>305</v>
      </c>
    </row>
    <row r="40" spans="2:5" x14ac:dyDescent="0.3">
      <c r="B40" s="110">
        <v>10</v>
      </c>
      <c r="C40" s="112" t="s">
        <v>326</v>
      </c>
      <c r="D40" s="112" t="s">
        <v>346</v>
      </c>
      <c r="E40" s="121" t="s">
        <v>305</v>
      </c>
    </row>
    <row r="41" spans="2:5" x14ac:dyDescent="0.3">
      <c r="B41" s="110">
        <v>10</v>
      </c>
      <c r="C41" s="112" t="s">
        <v>326</v>
      </c>
      <c r="D41" s="112" t="s">
        <v>172</v>
      </c>
      <c r="E41" s="121" t="s">
        <v>305</v>
      </c>
    </row>
    <row r="42" spans="2:5" x14ac:dyDescent="0.3">
      <c r="B42" s="110">
        <v>10</v>
      </c>
      <c r="C42" s="112" t="s">
        <v>326</v>
      </c>
      <c r="D42" s="112" t="s">
        <v>295</v>
      </c>
      <c r="E42" s="121" t="s">
        <v>305</v>
      </c>
    </row>
    <row r="43" spans="2:5" x14ac:dyDescent="0.3">
      <c r="B43" s="110">
        <v>11</v>
      </c>
      <c r="C43" s="112" t="s">
        <v>13</v>
      </c>
      <c r="D43" s="112" t="s">
        <v>306</v>
      </c>
      <c r="E43" s="121" t="s">
        <v>305</v>
      </c>
    </row>
    <row r="44" spans="2:5" x14ac:dyDescent="0.3">
      <c r="B44" s="110">
        <v>12</v>
      </c>
      <c r="C44" s="112" t="s">
        <v>324</v>
      </c>
      <c r="D44" s="112" t="s">
        <v>174</v>
      </c>
      <c r="E44" s="121" t="s">
        <v>305</v>
      </c>
    </row>
    <row r="45" spans="2:5" x14ac:dyDescent="0.3">
      <c r="B45" s="110">
        <v>12</v>
      </c>
      <c r="C45" s="112" t="s">
        <v>324</v>
      </c>
      <c r="D45" s="112" t="s">
        <v>297</v>
      </c>
      <c r="E45" s="121" t="s">
        <v>304</v>
      </c>
    </row>
    <row r="46" spans="2:5" x14ac:dyDescent="0.3">
      <c r="B46" s="110">
        <v>12</v>
      </c>
      <c r="C46" s="112" t="s">
        <v>324</v>
      </c>
      <c r="D46" s="112" t="s">
        <v>299</v>
      </c>
      <c r="E46" s="121" t="s">
        <v>304</v>
      </c>
    </row>
    <row r="47" spans="2:5" x14ac:dyDescent="0.3">
      <c r="B47" s="110">
        <v>13</v>
      </c>
      <c r="C47" s="112" t="s">
        <v>325</v>
      </c>
      <c r="D47" s="112" t="s">
        <v>300</v>
      </c>
      <c r="E47" s="121" t="s">
        <v>304</v>
      </c>
    </row>
    <row r="48" spans="2:5" x14ac:dyDescent="0.3">
      <c r="B48" s="110">
        <v>13</v>
      </c>
      <c r="C48" s="112" t="s">
        <v>325</v>
      </c>
      <c r="D48" s="112" t="s">
        <v>302</v>
      </c>
      <c r="E48" s="121" t="s">
        <v>305</v>
      </c>
    </row>
    <row r="51" spans="2:7" ht="18" x14ac:dyDescent="0.3">
      <c r="B51" s="93" t="s">
        <v>320</v>
      </c>
    </row>
    <row r="54" spans="2:7" x14ac:dyDescent="0.3">
      <c r="B54" s="95" t="s">
        <v>316</v>
      </c>
      <c r="C54" s="95" t="s">
        <v>16</v>
      </c>
      <c r="D54" s="95" t="s">
        <v>17</v>
      </c>
      <c r="E54" s="95" t="s">
        <v>38</v>
      </c>
    </row>
    <row r="55" spans="2:7" x14ac:dyDescent="0.3">
      <c r="B55" s="110">
        <v>14</v>
      </c>
      <c r="C55" s="112" t="s">
        <v>9</v>
      </c>
      <c r="D55" s="112" t="s">
        <v>159</v>
      </c>
      <c r="E55" s="111" t="s">
        <v>168</v>
      </c>
      <c r="F55" s="106"/>
      <c r="G55" s="106"/>
    </row>
    <row r="56" spans="2:7" x14ac:dyDescent="0.3">
      <c r="B56" s="110">
        <v>14</v>
      </c>
      <c r="C56" s="112" t="s">
        <v>9</v>
      </c>
      <c r="D56" s="112" t="s">
        <v>160</v>
      </c>
      <c r="E56" s="111" t="s">
        <v>91</v>
      </c>
      <c r="F56" s="106"/>
      <c r="G56" s="106"/>
    </row>
    <row r="57" spans="2:7" x14ac:dyDescent="0.3">
      <c r="B57" s="110">
        <v>15</v>
      </c>
      <c r="C57" s="112" t="s">
        <v>10</v>
      </c>
      <c r="D57" s="112" t="s">
        <v>162</v>
      </c>
      <c r="E57" s="111" t="s">
        <v>91</v>
      </c>
      <c r="F57" s="106"/>
      <c r="G57" s="106"/>
    </row>
    <row r="58" spans="2:7" x14ac:dyDescent="0.3">
      <c r="B58" s="110">
        <v>15</v>
      </c>
      <c r="C58" s="112" t="s">
        <v>10</v>
      </c>
      <c r="D58" s="112" t="s">
        <v>163</v>
      </c>
      <c r="E58" s="111" t="s">
        <v>169</v>
      </c>
      <c r="F58" s="106"/>
      <c r="G58" s="106"/>
    </row>
    <row r="59" spans="2:7" x14ac:dyDescent="0.3">
      <c r="B59" s="110">
        <v>16</v>
      </c>
      <c r="C59" s="112" t="s">
        <v>11</v>
      </c>
      <c r="D59" s="112" t="s">
        <v>287</v>
      </c>
      <c r="E59" s="111" t="s">
        <v>91</v>
      </c>
      <c r="F59" s="106"/>
      <c r="G59" s="106"/>
    </row>
    <row r="60" spans="2:7" x14ac:dyDescent="0.3">
      <c r="B60" s="110">
        <v>16</v>
      </c>
      <c r="C60" s="112" t="s">
        <v>11</v>
      </c>
      <c r="D60" s="112" t="s">
        <v>288</v>
      </c>
      <c r="E60" s="111" t="s">
        <v>91</v>
      </c>
      <c r="F60" s="106"/>
      <c r="G60" s="106"/>
    </row>
    <row r="61" spans="2:7" x14ac:dyDescent="0.3">
      <c r="B61" s="110">
        <v>17</v>
      </c>
      <c r="C61" s="112" t="s">
        <v>12</v>
      </c>
      <c r="D61" s="112" t="s">
        <v>166</v>
      </c>
      <c r="E61" s="111" t="s">
        <v>91</v>
      </c>
      <c r="F61" s="106"/>
      <c r="G61" s="106"/>
    </row>
    <row r="62" spans="2:7" x14ac:dyDescent="0.3">
      <c r="B62" s="110">
        <v>17</v>
      </c>
      <c r="C62" s="112" t="s">
        <v>12</v>
      </c>
      <c r="D62" s="112" t="s">
        <v>167</v>
      </c>
      <c r="E62" s="111" t="s">
        <v>91</v>
      </c>
      <c r="F62" s="106"/>
      <c r="G62" s="106"/>
    </row>
    <row r="63" spans="2:7" x14ac:dyDescent="0.3">
      <c r="B63" s="122">
        <v>18</v>
      </c>
      <c r="C63" s="112" t="s">
        <v>14</v>
      </c>
      <c r="D63" s="112" t="s">
        <v>181</v>
      </c>
      <c r="E63" s="113" t="s">
        <v>41</v>
      </c>
      <c r="F63" s="120"/>
      <c r="G63" s="120"/>
    </row>
    <row r="64" spans="2:7" x14ac:dyDescent="0.3">
      <c r="B64" s="122">
        <v>18</v>
      </c>
      <c r="C64" s="113" t="s">
        <v>14</v>
      </c>
      <c r="D64" s="116" t="s">
        <v>177</v>
      </c>
      <c r="E64" s="113" t="s">
        <v>41</v>
      </c>
      <c r="F64" s="120"/>
      <c r="G64" s="120"/>
    </row>
    <row r="65" spans="2:7" x14ac:dyDescent="0.3">
      <c r="B65" s="122">
        <v>18</v>
      </c>
      <c r="C65" s="113" t="s">
        <v>14</v>
      </c>
      <c r="D65" s="116" t="s">
        <v>292</v>
      </c>
      <c r="E65" s="113" t="s">
        <v>41</v>
      </c>
      <c r="F65" s="120"/>
      <c r="G65" s="120"/>
    </row>
    <row r="66" spans="2:7" x14ac:dyDescent="0.3">
      <c r="B66" s="122">
        <v>18</v>
      </c>
      <c r="C66" s="113" t="s">
        <v>14</v>
      </c>
      <c r="D66" s="116" t="s">
        <v>178</v>
      </c>
      <c r="E66" s="113" t="s">
        <v>294</v>
      </c>
      <c r="F66" s="120"/>
      <c r="G66" s="120"/>
    </row>
    <row r="67" spans="2:7" x14ac:dyDescent="0.3">
      <c r="B67" s="110">
        <v>18</v>
      </c>
      <c r="C67" s="113" t="s">
        <v>14</v>
      </c>
      <c r="D67" s="112" t="s">
        <v>341</v>
      </c>
      <c r="E67" s="113"/>
    </row>
  </sheetData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2"/>
  <sheetViews>
    <sheetView zoomScale="85" zoomScaleNormal="85" workbookViewId="0">
      <selection activeCell="C18" sqref="C18"/>
    </sheetView>
  </sheetViews>
  <sheetFormatPr baseColWidth="10" defaultColWidth="8.7265625" defaultRowHeight="14.5" x14ac:dyDescent="0.35"/>
  <cols>
    <col min="1" max="1" width="3.1796875" customWidth="1"/>
    <col min="2" max="2" width="12.54296875" bestFit="1" customWidth="1"/>
    <col min="3" max="3" width="30" bestFit="1" customWidth="1"/>
    <col min="4" max="4" width="25.54296875" bestFit="1" customWidth="1"/>
    <col min="5" max="5" width="27.26953125" bestFit="1" customWidth="1"/>
    <col min="18" max="18" width="13.26953125" customWidth="1"/>
  </cols>
  <sheetData>
    <row r="2" spans="1:18" ht="17.5" x14ac:dyDescent="0.35">
      <c r="B2" s="54" t="s">
        <v>68</v>
      </c>
    </row>
    <row r="4" spans="1:18" s="83" customFormat="1" x14ac:dyDescent="0.35">
      <c r="A4"/>
      <c r="B4" s="83" t="s">
        <v>15</v>
      </c>
      <c r="C4" s="83" t="s">
        <v>16</v>
      </c>
      <c r="D4" s="83" t="s">
        <v>17</v>
      </c>
      <c r="E4" s="83" t="s">
        <v>18</v>
      </c>
      <c r="F4" s="83">
        <v>2010</v>
      </c>
      <c r="G4" s="83">
        <v>2011</v>
      </c>
      <c r="H4" s="83">
        <v>2012</v>
      </c>
      <c r="I4" s="83">
        <v>2013</v>
      </c>
      <c r="J4" s="83">
        <v>2014</v>
      </c>
      <c r="K4" s="83">
        <v>2015</v>
      </c>
      <c r="L4" s="83">
        <v>2016</v>
      </c>
      <c r="M4" s="83">
        <v>2017</v>
      </c>
      <c r="N4" s="83">
        <v>2018</v>
      </c>
      <c r="O4" s="83">
        <v>2019</v>
      </c>
      <c r="P4" s="83">
        <v>2020</v>
      </c>
      <c r="Q4" s="83">
        <v>2021</v>
      </c>
      <c r="R4" s="90" t="s">
        <v>20</v>
      </c>
    </row>
    <row r="5" spans="1:18" s="81" customFormat="1" x14ac:dyDescent="0.35">
      <c r="A5"/>
      <c r="B5" s="82">
        <v>5</v>
      </c>
      <c r="C5" s="81" t="s">
        <v>42</v>
      </c>
      <c r="D5" s="81" t="s">
        <v>43</v>
      </c>
      <c r="E5" s="81" t="s">
        <v>44</v>
      </c>
      <c r="F5" s="84">
        <v>6.878443538241652</v>
      </c>
      <c r="G5" s="84">
        <v>6.6385051847325016</v>
      </c>
      <c r="H5" s="84">
        <v>6.1668479655895947</v>
      </c>
      <c r="I5" s="84">
        <v>5.5220118653198647</v>
      </c>
      <c r="J5" s="84">
        <v>5.7891859275132296</v>
      </c>
      <c r="K5" s="84">
        <v>4.7778433975107726</v>
      </c>
      <c r="L5" s="84">
        <v>4.305751822864412</v>
      </c>
      <c r="M5" s="84">
        <v>3.5841720878375005</v>
      </c>
      <c r="N5" s="84">
        <v>3.2144643921257154</v>
      </c>
      <c r="O5" s="84">
        <v>3.1844079970759109</v>
      </c>
      <c r="P5" s="84">
        <v>0.16097470402758329</v>
      </c>
      <c r="Q5" s="84">
        <v>1.9278133592164126</v>
      </c>
      <c r="R5" s="84">
        <f>_xlfn.STDEV.P(F5:O5)</f>
        <v>1.3225025131352506</v>
      </c>
    </row>
    <row r="6" spans="1:18" s="81" customFormat="1" x14ac:dyDescent="0.35">
      <c r="A6"/>
      <c r="B6" s="82">
        <v>5</v>
      </c>
      <c r="C6" s="81" t="s">
        <v>69</v>
      </c>
      <c r="D6" s="81" t="s">
        <v>70</v>
      </c>
      <c r="E6" s="81" t="s">
        <v>44</v>
      </c>
      <c r="F6" s="86" t="s">
        <v>24</v>
      </c>
      <c r="G6" s="86" t="s">
        <v>24</v>
      </c>
      <c r="H6" s="84">
        <v>6.8332251135139632</v>
      </c>
      <c r="I6" s="84">
        <v>6.190021695802761</v>
      </c>
      <c r="J6" s="84">
        <v>6.9146467333217831</v>
      </c>
      <c r="K6" s="84">
        <v>5.4324966528103591</v>
      </c>
      <c r="L6" s="84">
        <v>4.2639119533900649</v>
      </c>
      <c r="M6" s="84">
        <v>3.4549017597298004</v>
      </c>
      <c r="N6" s="84">
        <v>3.1878475182352206</v>
      </c>
      <c r="O6" s="84">
        <v>2.9438519880470082</v>
      </c>
      <c r="P6" s="84">
        <v>-0.25073925557830279</v>
      </c>
      <c r="Q6" s="84">
        <v>1.9141947445474816</v>
      </c>
      <c r="R6" s="84">
        <f t="shared" ref="R6:R15" si="0">_xlfn.STDEV.P(F6:O6)</f>
        <v>1.5408890669821207</v>
      </c>
    </row>
    <row r="7" spans="1:18" s="81" customFormat="1" x14ac:dyDescent="0.35">
      <c r="A7"/>
      <c r="B7" s="82">
        <v>5</v>
      </c>
      <c r="C7" s="81" t="s">
        <v>71</v>
      </c>
      <c r="D7" s="81" t="s">
        <v>72</v>
      </c>
      <c r="E7" s="81" t="s">
        <v>44</v>
      </c>
      <c r="F7" s="86" t="s">
        <v>24</v>
      </c>
      <c r="G7" s="86" t="s">
        <v>24</v>
      </c>
      <c r="H7" s="84">
        <v>5.1590574732283567</v>
      </c>
      <c r="I7" s="84">
        <v>4.5801034389844286</v>
      </c>
      <c r="J7" s="84">
        <v>4.3855161000902809</v>
      </c>
      <c r="K7" s="84">
        <v>4.1238731089829228</v>
      </c>
      <c r="L7" s="84">
        <v>4.2555400553414335</v>
      </c>
      <c r="M7" s="84">
        <v>3.7876166507201825</v>
      </c>
      <c r="N7" s="84">
        <v>3.3997386377436767</v>
      </c>
      <c r="O7" s="84">
        <v>3.5911343552476493</v>
      </c>
      <c r="P7" s="84">
        <v>0.66364052938623352</v>
      </c>
      <c r="Q7" s="84">
        <v>1.827757546904607</v>
      </c>
      <c r="R7" s="84">
        <f t="shared" si="0"/>
        <v>0.5334050158762087</v>
      </c>
    </row>
    <row r="8" spans="1:18" s="81" customFormat="1" x14ac:dyDescent="0.35">
      <c r="A8"/>
      <c r="B8" s="82">
        <v>5</v>
      </c>
      <c r="C8" s="81" t="s">
        <v>73</v>
      </c>
      <c r="D8" s="81" t="s">
        <v>74</v>
      </c>
      <c r="E8" s="81" t="s">
        <v>75</v>
      </c>
      <c r="F8" s="84">
        <v>71.333333333333329</v>
      </c>
      <c r="G8" s="84">
        <v>55.416666666666664</v>
      </c>
      <c r="H8" s="84">
        <v>60.916666666666664</v>
      </c>
      <c r="I8" s="84">
        <v>56.833333333333336</v>
      </c>
      <c r="J8" s="84">
        <v>53.708157187326371</v>
      </c>
      <c r="K8" s="84">
        <v>46.89689073547305</v>
      </c>
      <c r="L8" s="84">
        <v>54.940128517768045</v>
      </c>
      <c r="M8" s="84">
        <v>55.624168584303952</v>
      </c>
      <c r="N8" s="84">
        <v>56.822969754536949</v>
      </c>
      <c r="O8" s="84">
        <v>51.954527537028007</v>
      </c>
      <c r="P8" s="84">
        <v>37.260452412222683</v>
      </c>
      <c r="Q8" s="84">
        <v>41.329048814879421</v>
      </c>
      <c r="R8" s="84">
        <f t="shared" si="0"/>
        <v>6.039609664730583</v>
      </c>
    </row>
    <row r="9" spans="1:18" s="81" customFormat="1" x14ac:dyDescent="0.35">
      <c r="A9"/>
      <c r="B9" s="82">
        <v>5</v>
      </c>
      <c r="C9" s="81" t="s">
        <v>76</v>
      </c>
      <c r="D9" s="81" t="s">
        <v>77</v>
      </c>
      <c r="E9" s="81" t="s">
        <v>78</v>
      </c>
      <c r="F9" s="84">
        <v>0.50767522687047517</v>
      </c>
      <c r="G9" s="84">
        <v>4.3853134347819491</v>
      </c>
      <c r="H9" s="84">
        <v>4.7904506806778073</v>
      </c>
      <c r="I9" s="84">
        <v>0.85900127628011091</v>
      </c>
      <c r="J9" s="84">
        <v>1.1020715531659988</v>
      </c>
      <c r="K9" s="84">
        <v>1.5936709893486665</v>
      </c>
      <c r="L9" s="84">
        <v>2.0813806380640472</v>
      </c>
      <c r="M9" s="84">
        <v>-2.7507507056949407</v>
      </c>
      <c r="N9" s="84">
        <v>0.70106892206645455</v>
      </c>
      <c r="O9" s="84">
        <v>-0.10070727527113377</v>
      </c>
      <c r="P9" s="84">
        <v>-12.095951222653952</v>
      </c>
      <c r="Q9" s="84">
        <v>-2.7995344098616783</v>
      </c>
      <c r="R9" s="84">
        <f t="shared" si="0"/>
        <v>2.0490743267301212</v>
      </c>
    </row>
    <row r="10" spans="1:18" s="81" customFormat="1" x14ac:dyDescent="0.35">
      <c r="A10"/>
      <c r="B10" s="82">
        <v>5</v>
      </c>
      <c r="C10" s="81" t="s">
        <v>46</v>
      </c>
      <c r="D10" s="81" t="s">
        <v>47</v>
      </c>
      <c r="E10" s="81" t="s">
        <v>48</v>
      </c>
      <c r="F10" s="84">
        <v>30.017811636601166</v>
      </c>
      <c r="G10" s="84">
        <v>32.519946811063889</v>
      </c>
      <c r="H10" s="84">
        <v>33.15791269029495</v>
      </c>
      <c r="I10" s="84">
        <v>33.493863322819408</v>
      </c>
      <c r="J10" s="84">
        <v>34.540161415884583</v>
      </c>
      <c r="K10" s="84">
        <v>34.145076093543523</v>
      </c>
      <c r="L10" s="84">
        <v>35.194755587454154</v>
      </c>
      <c r="M10" s="84">
        <v>34.291951627891166</v>
      </c>
      <c r="N10" s="84">
        <v>34.260921747319088</v>
      </c>
      <c r="O10" s="84">
        <v>33.59645377192389</v>
      </c>
      <c r="P10" s="84">
        <v>31.581858950866064</v>
      </c>
      <c r="Q10" s="84">
        <v>28.595077555710098</v>
      </c>
      <c r="R10" s="84">
        <f t="shared" si="0"/>
        <v>1.3705531640460151</v>
      </c>
    </row>
    <row r="11" spans="1:18" s="81" customFormat="1" x14ac:dyDescent="0.35">
      <c r="A11"/>
      <c r="B11" s="82">
        <v>7</v>
      </c>
      <c r="C11" s="81" t="s">
        <v>53</v>
      </c>
      <c r="D11" s="81" t="s">
        <v>54</v>
      </c>
      <c r="E11" s="81" t="s">
        <v>55</v>
      </c>
      <c r="F11" s="84">
        <v>2.0764442319031202</v>
      </c>
      <c r="G11" s="84">
        <v>4.7384208424835199</v>
      </c>
      <c r="H11" s="84">
        <v>2.6493688807159002</v>
      </c>
      <c r="I11" s="84">
        <v>2.8596811557922499</v>
      </c>
      <c r="J11" s="84">
        <v>3.2240611887172999</v>
      </c>
      <c r="K11" s="84">
        <v>4.3979285416694003</v>
      </c>
      <c r="L11" s="84">
        <v>3.2348819503701201</v>
      </c>
      <c r="M11" s="84">
        <v>1.3648558837145399</v>
      </c>
      <c r="N11" s="84">
        <v>2.1925231538681902</v>
      </c>
      <c r="O11" s="84">
        <v>1.90009157916242</v>
      </c>
      <c r="P11" s="84">
        <v>1.9732322294607501</v>
      </c>
      <c r="Q11" s="84">
        <v>6.4</v>
      </c>
      <c r="R11" s="84">
        <f t="shared" si="0"/>
        <v>1.0211439849718589</v>
      </c>
    </row>
    <row r="12" spans="1:18" s="81" customFormat="1" x14ac:dyDescent="0.35">
      <c r="A12"/>
      <c r="B12" s="82">
        <v>7</v>
      </c>
      <c r="C12" s="81" t="s">
        <v>79</v>
      </c>
      <c r="D12" s="81" t="s">
        <v>80</v>
      </c>
      <c r="E12" s="81" t="s">
        <v>81</v>
      </c>
      <c r="F12" s="84">
        <v>29.6120566569119</v>
      </c>
      <c r="G12" s="84">
        <v>28.558155654135721</v>
      </c>
      <c r="H12" s="84">
        <v>33.139664193169082</v>
      </c>
      <c r="I12" s="84">
        <v>32.412161173189943</v>
      </c>
      <c r="J12" s="84">
        <v>30.711623605635623</v>
      </c>
      <c r="K12" s="84">
        <v>32.02113535483165</v>
      </c>
      <c r="L12" s="84">
        <v>31.557356479300569</v>
      </c>
      <c r="M12" s="84">
        <v>29.496318874761819</v>
      </c>
      <c r="N12" s="84">
        <v>26.508403877765964</v>
      </c>
      <c r="O12" s="84">
        <v>29.404537772364769</v>
      </c>
      <c r="P12" s="84">
        <v>36.299096767400208</v>
      </c>
      <c r="Q12" s="84">
        <v>34.782373323085764</v>
      </c>
      <c r="R12" s="84">
        <f t="shared" si="0"/>
        <v>1.9118339284304247</v>
      </c>
    </row>
    <row r="13" spans="1:18" s="81" customFormat="1" x14ac:dyDescent="0.35">
      <c r="A13"/>
      <c r="B13" s="82">
        <v>7</v>
      </c>
      <c r="C13" s="81" t="s">
        <v>53</v>
      </c>
      <c r="D13" s="81" t="s">
        <v>82</v>
      </c>
      <c r="E13" s="81" t="s">
        <v>81</v>
      </c>
      <c r="F13" s="84">
        <v>23.8027565211063</v>
      </c>
      <c r="G13" s="84">
        <v>21.611401597662798</v>
      </c>
      <c r="H13" s="84">
        <v>19.875581324790002</v>
      </c>
      <c r="I13" s="84">
        <v>19.1955168804922</v>
      </c>
      <c r="J13" s="84">
        <v>19.869186077031099</v>
      </c>
      <c r="K13" s="84">
        <v>23.256266030345099</v>
      </c>
      <c r="L13" s="84">
        <v>23.743826842399699</v>
      </c>
      <c r="M13" s="84">
        <v>24.736716589765201</v>
      </c>
      <c r="N13" s="84">
        <v>25.5919748496399</v>
      </c>
      <c r="O13" s="84">
        <v>26.608279872790099</v>
      </c>
      <c r="P13" s="84">
        <v>34.636906859547103</v>
      </c>
      <c r="Q13" s="84">
        <v>35.947971341043001</v>
      </c>
      <c r="R13" s="84">
        <f t="shared" si="0"/>
        <v>2.4431938255072057</v>
      </c>
    </row>
    <row r="14" spans="1:18" s="81" customFormat="1" x14ac:dyDescent="0.35">
      <c r="A14"/>
      <c r="B14" s="82">
        <v>7</v>
      </c>
      <c r="C14" s="81" t="s">
        <v>53</v>
      </c>
      <c r="D14" s="81" t="s">
        <v>56</v>
      </c>
      <c r="E14" s="81" t="s">
        <v>57</v>
      </c>
      <c r="F14" s="84">
        <v>7.706288443262781</v>
      </c>
      <c r="G14" s="84">
        <v>7.1715381328523966</v>
      </c>
      <c r="H14" s="84">
        <v>6.4672332524315523</v>
      </c>
      <c r="I14" s="84">
        <v>6.6486219480026056</v>
      </c>
      <c r="J14" s="84">
        <v>6.3647936571990806</v>
      </c>
      <c r="K14" s="84">
        <v>6.8844520533615032</v>
      </c>
      <c r="L14" s="84">
        <v>7.793599975786333</v>
      </c>
      <c r="M14" s="84">
        <v>8.9464702618187815</v>
      </c>
      <c r="N14" s="84">
        <v>9.3286762242699321</v>
      </c>
      <c r="O14" s="84">
        <v>9.3733613785410625</v>
      </c>
      <c r="P14" s="84">
        <v>12.037679586915138</v>
      </c>
      <c r="Q14" s="84">
        <v>9.221444799595119</v>
      </c>
      <c r="R14" s="84">
        <f t="shared" si="0"/>
        <v>1.1116460283773864</v>
      </c>
    </row>
    <row r="15" spans="1:18" s="81" customFormat="1" x14ac:dyDescent="0.35">
      <c r="A15"/>
      <c r="B15" s="82">
        <v>7</v>
      </c>
      <c r="C15" s="81" t="s">
        <v>83</v>
      </c>
      <c r="D15" s="81" t="s">
        <v>84</v>
      </c>
      <c r="E15" s="81" t="s">
        <v>85</v>
      </c>
      <c r="F15" s="84">
        <v>171.61685823754789</v>
      </c>
      <c r="G15" s="84">
        <v>191.27307692307693</v>
      </c>
      <c r="H15" s="84">
        <v>157.01149425287358</v>
      </c>
      <c r="I15" s="84">
        <v>158.62835249042146</v>
      </c>
      <c r="J15" s="84">
        <v>162.04214559386972</v>
      </c>
      <c r="K15" s="84">
        <v>200.86973180076629</v>
      </c>
      <c r="L15" s="84">
        <v>199.28076923076924</v>
      </c>
      <c r="M15" s="84">
        <v>145.04615384615386</v>
      </c>
      <c r="N15" s="84">
        <v>147.58237547892719</v>
      </c>
      <c r="O15" s="84">
        <v>128.68199233716476</v>
      </c>
      <c r="P15" s="84">
        <v>172.66153846153847</v>
      </c>
      <c r="Q15" s="84">
        <v>165.727969348659</v>
      </c>
      <c r="R15" s="84">
        <f t="shared" si="0"/>
        <v>23.054451442302661</v>
      </c>
    </row>
    <row r="16" spans="1:18" x14ac:dyDescent="0.35">
      <c r="R16" s="81"/>
    </row>
    <row r="17" spans="1:21" s="83" customFormat="1" x14ac:dyDescent="0.35">
      <c r="A17"/>
      <c r="B17" s="83" t="s">
        <v>15</v>
      </c>
      <c r="C17" s="83" t="s">
        <v>16</v>
      </c>
      <c r="D17" s="83" t="s">
        <v>17</v>
      </c>
      <c r="F17" s="83">
        <v>2010</v>
      </c>
      <c r="G17" s="83">
        <v>2011</v>
      </c>
      <c r="H17" s="83">
        <v>2012</v>
      </c>
      <c r="I17" s="83">
        <v>2013</v>
      </c>
      <c r="J17" s="83">
        <v>2014</v>
      </c>
      <c r="K17" s="83">
        <v>2015</v>
      </c>
      <c r="L17" s="83">
        <v>2016</v>
      </c>
      <c r="M17" s="83">
        <v>2017</v>
      </c>
      <c r="N17" s="83">
        <v>2018</v>
      </c>
      <c r="O17" s="83">
        <v>2019</v>
      </c>
      <c r="P17" s="83">
        <v>2020</v>
      </c>
      <c r="Q17" s="83">
        <v>2021</v>
      </c>
      <c r="R17" s="90" t="s">
        <v>37</v>
      </c>
    </row>
    <row r="18" spans="1:21" s="81" customFormat="1" x14ac:dyDescent="0.35">
      <c r="A18"/>
      <c r="B18" s="82">
        <v>5</v>
      </c>
      <c r="C18" s="81" t="s">
        <v>42</v>
      </c>
      <c r="D18" s="81" t="s">
        <v>43</v>
      </c>
      <c r="F18" s="84">
        <f t="shared" ref="F18:Q18" si="1">(F5-$R18)/$R5</f>
        <v>2.4033553862264734</v>
      </c>
      <c r="G18" s="84">
        <f t="shared" si="1"/>
        <v>2.2219278644440537</v>
      </c>
      <c r="H18" s="84">
        <f t="shared" si="1"/>
        <v>1.8652879227741122</v>
      </c>
      <c r="I18" s="84">
        <f t="shared" si="1"/>
        <v>1.3777001156696704</v>
      </c>
      <c r="J18" s="84">
        <f t="shared" si="1"/>
        <v>1.5797217069632676</v>
      </c>
      <c r="K18" s="84">
        <f t="shared" si="1"/>
        <v>0.81500291062247898</v>
      </c>
      <c r="L18" s="84">
        <f t="shared" si="1"/>
        <v>0.45803453441336667</v>
      </c>
      <c r="M18" s="84">
        <f t="shared" si="1"/>
        <v>-8.7582375845855265E-2</v>
      </c>
      <c r="N18" s="84">
        <f t="shared" si="1"/>
        <v>-0.36713397747973098</v>
      </c>
      <c r="O18" s="84">
        <f t="shared" si="1"/>
        <v>-0.38986088707066247</v>
      </c>
      <c r="P18" s="84">
        <f t="shared" si="1"/>
        <v>-2.6760064807608313</v>
      </c>
      <c r="Q18" s="84">
        <f t="shared" si="1"/>
        <v>-1.3400251592583161</v>
      </c>
      <c r="R18" s="84">
        <v>3.7</v>
      </c>
      <c r="S18" s="81" t="s">
        <v>58</v>
      </c>
    </row>
    <row r="19" spans="1:21" s="81" customFormat="1" x14ac:dyDescent="0.35">
      <c r="A19"/>
      <c r="B19" s="82">
        <v>5</v>
      </c>
      <c r="C19" s="81" t="s">
        <v>69</v>
      </c>
      <c r="D19" s="81" t="s">
        <v>70</v>
      </c>
      <c r="F19" s="84"/>
      <c r="G19" s="84"/>
      <c r="H19" s="84">
        <f t="shared" ref="H19:Q19" si="2">(H6-$R19)/$R6</f>
        <v>2.0333878542278727</v>
      </c>
      <c r="I19" s="84">
        <f t="shared" si="2"/>
        <v>1.6159642826719161</v>
      </c>
      <c r="J19" s="84">
        <f t="shared" si="2"/>
        <v>2.0862285301418675</v>
      </c>
      <c r="K19" s="84">
        <f t="shared" si="2"/>
        <v>1.1243487217438097</v>
      </c>
      <c r="L19" s="84">
        <f t="shared" si="2"/>
        <v>0.36596531539710636</v>
      </c>
      <c r="M19" s="84">
        <f t="shared" si="2"/>
        <v>-0.1590628718978663</v>
      </c>
      <c r="N19" s="84">
        <f t="shared" si="2"/>
        <v>-0.33237466131669435</v>
      </c>
      <c r="O19" s="84">
        <f t="shared" si="2"/>
        <v>-0.49072190085294815</v>
      </c>
      <c r="P19" s="84">
        <f t="shared" si="2"/>
        <v>-2.5639348998146563</v>
      </c>
      <c r="Q19" s="84">
        <f t="shared" si="2"/>
        <v>-1.1589447246517712</v>
      </c>
      <c r="R19" s="84">
        <v>3.7</v>
      </c>
      <c r="S19" s="81" t="s">
        <v>58</v>
      </c>
    </row>
    <row r="20" spans="1:21" s="81" customFormat="1" ht="12.65" customHeight="1" x14ac:dyDescent="0.35">
      <c r="A20"/>
      <c r="B20" s="82">
        <v>5</v>
      </c>
      <c r="C20" s="81" t="s">
        <v>71</v>
      </c>
      <c r="D20" s="81" t="s">
        <v>72</v>
      </c>
      <c r="F20" s="84"/>
      <c r="G20" s="84"/>
      <c r="H20" s="84">
        <f t="shared" ref="H20:Q20" si="3">(H7-$R20)/$R7</f>
        <v>9.6719328084189922</v>
      </c>
      <c r="I20" s="84">
        <f t="shared" si="3"/>
        <v>8.5865398761967544</v>
      </c>
      <c r="J20" s="84">
        <f t="shared" si="3"/>
        <v>8.2217376469291779</v>
      </c>
      <c r="K20" s="84">
        <f t="shared" si="3"/>
        <v>7.7312229661147036</v>
      </c>
      <c r="L20" s="84">
        <f t="shared" si="3"/>
        <v>7.9780653137484716</v>
      </c>
      <c r="M20" s="84">
        <f t="shared" si="3"/>
        <v>7.1008268351177319</v>
      </c>
      <c r="N20" s="84">
        <f t="shared" si="3"/>
        <v>6.3736532963774746</v>
      </c>
      <c r="O20" s="84">
        <f t="shared" si="3"/>
        <v>6.7324720397475053</v>
      </c>
      <c r="P20" s="84">
        <f t="shared" si="3"/>
        <v>1.2441587717282538</v>
      </c>
      <c r="Q20" s="84">
        <f t="shared" si="3"/>
        <v>3.4265848511045656</v>
      </c>
      <c r="R20" s="84"/>
      <c r="S20" s="81" t="s">
        <v>86</v>
      </c>
    </row>
    <row r="21" spans="1:21" s="81" customFormat="1" x14ac:dyDescent="0.35">
      <c r="A21"/>
      <c r="B21" s="82">
        <v>5</v>
      </c>
      <c r="C21" s="81" t="s">
        <v>73</v>
      </c>
      <c r="D21" s="81" t="s">
        <v>74</v>
      </c>
      <c r="F21" s="84">
        <f t="shared" ref="F21:G23" si="4">(F8-$R21)/$R8</f>
        <v>2.4499564710252657</v>
      </c>
      <c r="G21" s="84">
        <f t="shared" si="4"/>
        <v>-0.18542355355065687</v>
      </c>
      <c r="H21" s="84">
        <f t="shared" ref="H21:Q21" si="5">(H8-$R21)/$R8</f>
        <v>0.7252313240514946</v>
      </c>
      <c r="I21" s="84">
        <f t="shared" si="5"/>
        <v>4.9139066437776845E-2</v>
      </c>
      <c r="J21" s="84">
        <f t="shared" si="5"/>
        <v>-0.46830764278533871</v>
      </c>
      <c r="K21" s="84">
        <f t="shared" si="5"/>
        <v>-1.5960736458813616</v>
      </c>
      <c r="L21" s="84">
        <f t="shared" si="5"/>
        <v>-0.26432569712484377</v>
      </c>
      <c r="M21" s="84">
        <f t="shared" si="5"/>
        <v>-0.15106671111280309</v>
      </c>
      <c r="N21" s="84">
        <f t="shared" si="5"/>
        <v>4.7423131241350704E-2</v>
      </c>
      <c r="O21" s="84">
        <f t="shared" si="5"/>
        <v>-0.75866244179478615</v>
      </c>
      <c r="P21" s="84">
        <f t="shared" si="5"/>
        <v>-3.1916135662050427</v>
      </c>
      <c r="Q21" s="84">
        <f t="shared" si="5"/>
        <v>-2.5179613554643288</v>
      </c>
      <c r="R21" s="84">
        <v>56.5365525527599</v>
      </c>
      <c r="S21" s="81" t="s">
        <v>87</v>
      </c>
    </row>
    <row r="22" spans="1:21" s="81" customFormat="1" x14ac:dyDescent="0.35">
      <c r="A22"/>
      <c r="B22" s="82">
        <v>5</v>
      </c>
      <c r="C22" s="81" t="s">
        <v>76</v>
      </c>
      <c r="D22" s="81" t="s">
        <v>77</v>
      </c>
      <c r="F22" s="84">
        <f t="shared" si="4"/>
        <v>-0.79594445728706498</v>
      </c>
      <c r="G22" s="84">
        <f t="shared" si="4"/>
        <v>1.0964408785339856</v>
      </c>
      <c r="H22" s="84">
        <f t="shared" ref="H22:Q22" si="6">(H9-$R22)/$R9</f>
        <v>1.294158082156545</v>
      </c>
      <c r="I22" s="84">
        <f t="shared" si="6"/>
        <v>-0.62448847600488477</v>
      </c>
      <c r="J22" s="84">
        <f t="shared" si="6"/>
        <v>-0.50586404461406476</v>
      </c>
      <c r="K22" s="84">
        <f t="shared" si="6"/>
        <v>-0.26595110940729078</v>
      </c>
      <c r="L22" s="84">
        <f t="shared" si="6"/>
        <v>-2.7936488681619191E-2</v>
      </c>
      <c r="M22" s="84">
        <f t="shared" si="6"/>
        <v>-2.3861385708237655</v>
      </c>
      <c r="N22" s="84">
        <f t="shared" si="6"/>
        <v>-0.70156345183832958</v>
      </c>
      <c r="O22" s="84">
        <f t="shared" si="6"/>
        <v>-1.0928504768517411</v>
      </c>
      <c r="P22" s="84">
        <f t="shared" si="6"/>
        <v>-6.9468323412014978</v>
      </c>
      <c r="Q22" s="84">
        <f t="shared" si="6"/>
        <v>-2.4099462499939914</v>
      </c>
      <c r="R22" s="84">
        <v>2.1386245798005397</v>
      </c>
      <c r="S22" s="81" t="s">
        <v>88</v>
      </c>
    </row>
    <row r="23" spans="1:21" s="81" customFormat="1" x14ac:dyDescent="0.35">
      <c r="A23"/>
      <c r="B23" s="82">
        <v>5</v>
      </c>
      <c r="C23" s="81" t="s">
        <v>46</v>
      </c>
      <c r="D23" s="81" t="s">
        <v>47</v>
      </c>
      <c r="F23" s="84">
        <f t="shared" si="4"/>
        <v>-2.5566858154805412</v>
      </c>
      <c r="G23" s="84">
        <f t="shared" si="4"/>
        <v>-0.73104691280845535</v>
      </c>
      <c r="H23" s="84">
        <f t="shared" ref="H23:Q23" si="7">(H10-$R23)/$R10</f>
        <v>-0.26556633462517693</v>
      </c>
      <c r="I23" s="84">
        <f t="shared" si="7"/>
        <v>-2.0445866964734643E-2</v>
      </c>
      <c r="J23" s="84">
        <f t="shared" si="7"/>
        <v>0.74296712606093884</v>
      </c>
      <c r="K23" s="84">
        <f t="shared" si="7"/>
        <v>0.45470007250518507</v>
      </c>
      <c r="L23" s="84">
        <f t="shared" si="7"/>
        <v>1.2205802451588808</v>
      </c>
      <c r="M23" s="84">
        <f t="shared" si="7"/>
        <v>0.5618652217315393</v>
      </c>
      <c r="N23" s="84">
        <f t="shared" si="7"/>
        <v>0.53922481537147204</v>
      </c>
      <c r="O23" s="84">
        <f t="shared" si="7"/>
        <v>5.4407449050840426E-2</v>
      </c>
      <c r="P23" s="84">
        <f t="shared" si="7"/>
        <v>-1.4155062134812528</v>
      </c>
      <c r="Q23" s="84">
        <f t="shared" si="7"/>
        <v>-3.5947587032852066</v>
      </c>
      <c r="R23" s="84">
        <v>33.521885470479589</v>
      </c>
      <c r="S23" s="81" t="s">
        <v>59</v>
      </c>
    </row>
    <row r="24" spans="1:21" s="81" customFormat="1" x14ac:dyDescent="0.35">
      <c r="A24"/>
      <c r="B24" s="82">
        <v>7</v>
      </c>
      <c r="C24" s="81" t="s">
        <v>89</v>
      </c>
      <c r="D24" s="81" t="s">
        <v>54</v>
      </c>
      <c r="F24" s="84">
        <f>-(F11-$R24)/$R11</f>
        <v>-7.4861364340531172E-2</v>
      </c>
      <c r="G24" s="84">
        <f t="shared" ref="G24:Q24" si="8">-(G11-$R24)/$R11</f>
        <v>-2.681718624194791</v>
      </c>
      <c r="H24" s="84">
        <f t="shared" si="8"/>
        <v>-0.63592293571978076</v>
      </c>
      <c r="I24" s="84">
        <f t="shared" si="8"/>
        <v>-0.84188044824642572</v>
      </c>
      <c r="J24" s="84">
        <f t="shared" si="8"/>
        <v>-1.1987155648290218</v>
      </c>
      <c r="K24" s="84">
        <f t="shared" si="8"/>
        <v>-2.3482766161869755</v>
      </c>
      <c r="L24" s="84">
        <f t="shared" si="8"/>
        <v>-1.2093122699088821</v>
      </c>
      <c r="M24" s="84">
        <f t="shared" si="8"/>
        <v>0.6219927117359102</v>
      </c>
      <c r="N24" s="84">
        <f t="shared" si="8"/>
        <v>-0.18853673595648299</v>
      </c>
      <c r="O24" s="84">
        <f t="shared" si="8"/>
        <v>9.783969969752436E-2</v>
      </c>
      <c r="P24" s="84">
        <f t="shared" si="8"/>
        <v>2.6213512426445547E-2</v>
      </c>
      <c r="Q24" s="84">
        <f t="shared" si="8"/>
        <v>-4.3088928346586277</v>
      </c>
      <c r="R24" s="84">
        <v>2</v>
      </c>
      <c r="S24" s="81" t="s">
        <v>60</v>
      </c>
    </row>
    <row r="25" spans="1:21" s="81" customFormat="1" x14ac:dyDescent="0.35">
      <c r="A25"/>
      <c r="B25" s="82">
        <v>7</v>
      </c>
      <c r="C25" s="81" t="s">
        <v>79</v>
      </c>
      <c r="D25" s="81" t="s">
        <v>80</v>
      </c>
      <c r="F25" s="84">
        <f t="shared" ref="F25:Q25" si="9">(F12-$R25)/$R12</f>
        <v>-0.20291686287134436</v>
      </c>
      <c r="G25" s="84">
        <f t="shared" si="9"/>
        <v>-0.75416819652740597</v>
      </c>
      <c r="H25" s="84">
        <f t="shared" si="9"/>
        <v>1.6422264227451389</v>
      </c>
      <c r="I25" s="84">
        <f t="shared" si="9"/>
        <v>1.2617001598932167</v>
      </c>
      <c r="J25" s="84">
        <f t="shared" si="9"/>
        <v>0.37222040840118936</v>
      </c>
      <c r="K25" s="84">
        <f t="shared" si="9"/>
        <v>1.0571709837218755</v>
      </c>
      <c r="L25" s="84">
        <f t="shared" si="9"/>
        <v>0.81458774014912805</v>
      </c>
      <c r="M25" s="84">
        <f t="shared" si="9"/>
        <v>-0.26345443385435291</v>
      </c>
      <c r="N25" s="84">
        <f t="shared" si="9"/>
        <v>-1.8263072280030948</v>
      </c>
      <c r="O25" s="84">
        <f t="shared" si="9"/>
        <v>-0.31146127222676345</v>
      </c>
      <c r="P25" s="84">
        <f t="shared" si="9"/>
        <v>3.2947928550319396</v>
      </c>
      <c r="Q25" s="84">
        <f t="shared" si="9"/>
        <v>2.5014585482390679</v>
      </c>
      <c r="R25" s="84">
        <v>30</v>
      </c>
      <c r="S25" s="81" t="s">
        <v>90</v>
      </c>
    </row>
    <row r="26" spans="1:21" s="81" customFormat="1" x14ac:dyDescent="0.35">
      <c r="A26"/>
      <c r="B26" s="82">
        <v>7</v>
      </c>
      <c r="C26" s="81" t="s">
        <v>53</v>
      </c>
      <c r="D26" s="81" t="s">
        <v>82</v>
      </c>
      <c r="F26" s="84">
        <f>-(F13-$R26)/$R13</f>
        <v>2.5365337019903267</v>
      </c>
      <c r="G26" s="84">
        <f t="shared" ref="G26:Q28" si="10">-(G13-$R26)/$R13</f>
        <v>3.4334559602923576</v>
      </c>
      <c r="H26" s="84">
        <f t="shared" si="10"/>
        <v>4.1439277430672838</v>
      </c>
      <c r="I26" s="84">
        <f t="shared" si="10"/>
        <v>4.4222783336744866</v>
      </c>
      <c r="J26" s="84">
        <f t="shared" si="10"/>
        <v>4.14654531998326</v>
      </c>
      <c r="K26" s="84">
        <f t="shared" si="10"/>
        <v>2.7602124314696588</v>
      </c>
      <c r="L26" s="84">
        <f t="shared" si="10"/>
        <v>2.5606536379902334</v>
      </c>
      <c r="M26" s="84">
        <f t="shared" si="10"/>
        <v>2.1542635526029721</v>
      </c>
      <c r="N26" s="84">
        <f t="shared" si="10"/>
        <v>1.8042060782651972</v>
      </c>
      <c r="O26" s="84">
        <f t="shared" si="10"/>
        <v>1.3882321131463164</v>
      </c>
      <c r="P26" s="84">
        <f t="shared" si="10"/>
        <v>-1.8978874337096379</v>
      </c>
      <c r="Q26" s="84">
        <f t="shared" si="10"/>
        <v>-2.4345065376907642</v>
      </c>
      <c r="R26" s="84">
        <v>30</v>
      </c>
      <c r="S26" s="81" t="s">
        <v>90</v>
      </c>
    </row>
    <row r="27" spans="1:21" s="81" customFormat="1" x14ac:dyDescent="0.35">
      <c r="A27"/>
      <c r="B27" s="82">
        <v>7</v>
      </c>
      <c r="C27" s="81" t="s">
        <v>53</v>
      </c>
      <c r="D27" s="81" t="s">
        <v>56</v>
      </c>
      <c r="F27" s="84">
        <f>-(F14-$R27)/$R14</f>
        <v>-5.6568755721276651E-3</v>
      </c>
      <c r="G27" s="84">
        <f t="shared" si="10"/>
        <v>0.4753868170778901</v>
      </c>
      <c r="H27" s="84">
        <f t="shared" si="10"/>
        <v>1.108956192977953</v>
      </c>
      <c r="I27" s="84">
        <f t="shared" si="10"/>
        <v>0.94578492178129581</v>
      </c>
      <c r="J27" s="84">
        <f t="shared" si="10"/>
        <v>1.2011074647114539</v>
      </c>
      <c r="K27" s="84">
        <f t="shared" si="10"/>
        <v>0.73363995896149703</v>
      </c>
      <c r="L27" s="84">
        <f t="shared" si="10"/>
        <v>-8.4199442445682102E-2</v>
      </c>
      <c r="M27" s="84">
        <f t="shared" si="10"/>
        <v>-1.1212834211607727</v>
      </c>
      <c r="N27" s="84">
        <f t="shared" si="10"/>
        <v>-1.4651032637135659</v>
      </c>
      <c r="O27" s="84">
        <f t="shared" si="10"/>
        <v>-1.5053005505570722</v>
      </c>
      <c r="P27" s="84">
        <f t="shared" si="10"/>
        <v>-3.9020330898376252</v>
      </c>
      <c r="Q27" s="84">
        <f t="shared" si="10"/>
        <v>-1.3686414207010618</v>
      </c>
      <c r="R27" s="84">
        <v>7.7</v>
      </c>
      <c r="S27" s="81" t="s">
        <v>91</v>
      </c>
    </row>
    <row r="28" spans="1:21" s="81" customFormat="1" x14ac:dyDescent="0.35">
      <c r="A28"/>
      <c r="B28" s="82">
        <v>7</v>
      </c>
      <c r="C28" s="81" t="s">
        <v>83</v>
      </c>
      <c r="D28" s="81" t="s">
        <v>84</v>
      </c>
      <c r="F28" s="84">
        <f>-(F15-$R28)/$R15</f>
        <v>-0.23481639682206654</v>
      </c>
      <c r="G28" s="84">
        <f t="shared" si="10"/>
        <v>-1.0874161099283088</v>
      </c>
      <c r="H28" s="84">
        <f t="shared" si="10"/>
        <v>0.39869960858914444</v>
      </c>
      <c r="I28" s="84">
        <f t="shared" si="10"/>
        <v>0.32856745898695905</v>
      </c>
      <c r="J28" s="84">
        <f t="shared" si="10"/>
        <v>0.1804922331681274</v>
      </c>
      <c r="K28" s="84">
        <f t="shared" si="10"/>
        <v>-1.5036764968521303</v>
      </c>
      <c r="L28" s="84">
        <f t="shared" si="10"/>
        <v>-1.4347543377639527</v>
      </c>
      <c r="M28" s="84">
        <f t="shared" si="10"/>
        <v>0.91770308332654327</v>
      </c>
      <c r="N28" s="84">
        <f t="shared" si="10"/>
        <v>0.80769302131658305</v>
      </c>
      <c r="O28" s="84">
        <f t="shared" si="10"/>
        <v>1.6275079359790972</v>
      </c>
      <c r="P28" s="84">
        <f t="shared" si="10"/>
        <v>-0.28012999825843365</v>
      </c>
      <c r="Q28" s="84">
        <f t="shared" si="10"/>
        <v>2.0617522463618625E-2</v>
      </c>
      <c r="R28" s="84">
        <f>AVERAGE(F15:O15)</f>
        <v>166.20329501915708</v>
      </c>
      <c r="S28" s="81" t="s">
        <v>91</v>
      </c>
    </row>
    <row r="29" spans="1:21" s="81" customFormat="1" x14ac:dyDescent="0.35">
      <c r="A29"/>
      <c r="B29" s="82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4"/>
    </row>
    <row r="30" spans="1:21" s="81" customFormat="1" x14ac:dyDescent="0.35">
      <c r="A30"/>
      <c r="B30" s="82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4"/>
    </row>
    <row r="31" spans="1:21" s="83" customFormat="1" x14ac:dyDescent="0.35">
      <c r="A31"/>
      <c r="B31" s="83" t="s">
        <v>15</v>
      </c>
      <c r="C31" s="83" t="s">
        <v>16</v>
      </c>
      <c r="D31" s="83" t="s">
        <v>17</v>
      </c>
      <c r="E31" s="83" t="s">
        <v>18</v>
      </c>
      <c r="F31" s="83">
        <v>2010</v>
      </c>
      <c r="G31" s="83">
        <v>2011</v>
      </c>
      <c r="H31" s="83">
        <v>2012</v>
      </c>
      <c r="I31" s="83">
        <v>2013</v>
      </c>
      <c r="J31" s="83">
        <v>2014</v>
      </c>
      <c r="K31" s="83">
        <v>2015</v>
      </c>
      <c r="L31" s="83">
        <v>2016</v>
      </c>
      <c r="M31" s="83">
        <v>2017</v>
      </c>
      <c r="N31" s="83">
        <v>2018</v>
      </c>
      <c r="O31" s="83">
        <v>2019</v>
      </c>
      <c r="P31" s="83">
        <v>2020</v>
      </c>
      <c r="Q31" s="83">
        <v>2021</v>
      </c>
      <c r="R31" s="90" t="s">
        <v>61</v>
      </c>
      <c r="S31" s="90" t="s">
        <v>62</v>
      </c>
      <c r="T31" s="90" t="s">
        <v>63</v>
      </c>
      <c r="U31" s="90" t="s">
        <v>64</v>
      </c>
    </row>
    <row r="32" spans="1:21" s="81" customFormat="1" x14ac:dyDescent="0.35">
      <c r="A32"/>
      <c r="B32" s="82">
        <v>5</v>
      </c>
      <c r="C32" s="127" t="s">
        <v>6</v>
      </c>
      <c r="D32" s="127"/>
      <c r="E32" s="81" t="s">
        <v>65</v>
      </c>
      <c r="F32" s="84">
        <f t="shared" ref="F32:Q32" si="11">AVERAGE(F18:F23)</f>
        <v>0.37517039612103342</v>
      </c>
      <c r="G32" s="84">
        <f t="shared" si="11"/>
        <v>0.60047456915473174</v>
      </c>
      <c r="H32" s="84">
        <f t="shared" si="11"/>
        <v>2.5540719428339731</v>
      </c>
      <c r="I32" s="84">
        <f t="shared" si="11"/>
        <v>1.8307348330010829</v>
      </c>
      <c r="J32" s="84">
        <f t="shared" si="11"/>
        <v>1.9427472204493084</v>
      </c>
      <c r="K32" s="84">
        <f t="shared" si="11"/>
        <v>1.3772083192829212</v>
      </c>
      <c r="L32" s="84">
        <f t="shared" si="11"/>
        <v>1.6217305371518933</v>
      </c>
      <c r="M32" s="84">
        <f t="shared" si="11"/>
        <v>0.8131402545281633</v>
      </c>
      <c r="N32" s="84">
        <f t="shared" si="11"/>
        <v>0.92653819205925692</v>
      </c>
      <c r="O32" s="84">
        <f t="shared" si="11"/>
        <v>0.67579729703803471</v>
      </c>
      <c r="P32" s="84">
        <f t="shared" si="11"/>
        <v>-2.591622454955838</v>
      </c>
      <c r="Q32" s="84">
        <f t="shared" si="11"/>
        <v>-1.2658418902581747</v>
      </c>
      <c r="R32" s="84">
        <f>AVERAGE(F32:Q32)</f>
        <v>0.73834576803386553</v>
      </c>
      <c r="S32" s="85">
        <f>MAX(F32:Q32)</f>
        <v>2.5540719428339731</v>
      </c>
      <c r="T32" s="85">
        <f>MIN(F32:Q32)</f>
        <v>-2.591622454955838</v>
      </c>
      <c r="U32" s="84">
        <f>_xlfn.STDEV.P(F32:Q32)</f>
        <v>1.3671916638467008</v>
      </c>
    </row>
    <row r="33" spans="1:21" s="81" customFormat="1" x14ac:dyDescent="0.35">
      <c r="A33"/>
      <c r="B33" s="82">
        <v>7</v>
      </c>
      <c r="C33" s="127" t="s">
        <v>8</v>
      </c>
      <c r="D33" s="127"/>
      <c r="E33" s="81" t="s">
        <v>66</v>
      </c>
      <c r="F33" s="84">
        <f t="shared" ref="F33:Q33" si="12">AVERAGE(F24:F28)</f>
        <v>0.40365644047685134</v>
      </c>
      <c r="G33" s="84">
        <f t="shared" si="12"/>
        <v>-0.12289203065605162</v>
      </c>
      <c r="H33" s="84">
        <f t="shared" si="12"/>
        <v>1.3315774063319477</v>
      </c>
      <c r="I33" s="84">
        <f t="shared" si="12"/>
        <v>1.2232900852179065</v>
      </c>
      <c r="J33" s="84">
        <f t="shared" si="12"/>
        <v>0.94032997228700188</v>
      </c>
      <c r="K33" s="84">
        <f t="shared" si="12"/>
        <v>0.13981405222278503</v>
      </c>
      <c r="L33" s="84">
        <f t="shared" si="12"/>
        <v>0.12939506560416891</v>
      </c>
      <c r="M33" s="84">
        <f t="shared" si="12"/>
        <v>0.46184429853005993</v>
      </c>
      <c r="N33" s="84">
        <f t="shared" si="12"/>
        <v>-0.1736096256182727</v>
      </c>
      <c r="O33" s="84">
        <f t="shared" si="12"/>
        <v>0.25936358520782044</v>
      </c>
      <c r="P33" s="84">
        <f t="shared" si="12"/>
        <v>-0.55180883086946231</v>
      </c>
      <c r="Q33" s="84">
        <f t="shared" si="12"/>
        <v>-1.1179929444695536</v>
      </c>
      <c r="R33" s="84">
        <f t="shared" ref="R33:R34" si="13">AVERAGE(F33:Q33)</f>
        <v>0.24358062285543344</v>
      </c>
      <c r="S33" s="85">
        <f t="shared" ref="S33:S34" si="14">MAX(F33:Q33)</f>
        <v>1.3315774063319477</v>
      </c>
      <c r="T33" s="85">
        <f t="shared" ref="T33:T34" si="15">MIN(F33:Q33)</f>
        <v>-1.1179929444695536</v>
      </c>
      <c r="U33" s="84">
        <f t="shared" ref="U33:U34" si="16">_xlfn.STDEV.P(F33:Q33)</f>
        <v>0.67830809144466986</v>
      </c>
    </row>
    <row r="34" spans="1:21" s="87" customFormat="1" x14ac:dyDescent="0.35">
      <c r="A34"/>
      <c r="C34" s="128" t="s">
        <v>0</v>
      </c>
      <c r="D34" s="128"/>
      <c r="E34" s="87" t="s">
        <v>67</v>
      </c>
      <c r="F34" s="89">
        <f t="shared" ref="F34:Q34" si="17">AVERAGE(F32:F33)</f>
        <v>0.38941341829894238</v>
      </c>
      <c r="G34" s="89">
        <f t="shared" si="17"/>
        <v>0.23879126924934008</v>
      </c>
      <c r="H34" s="89">
        <f t="shared" si="17"/>
        <v>1.9428246745829605</v>
      </c>
      <c r="I34" s="89">
        <f t="shared" si="17"/>
        <v>1.5270124591094947</v>
      </c>
      <c r="J34" s="89">
        <f t="shared" si="17"/>
        <v>1.4415385963681551</v>
      </c>
      <c r="K34" s="89">
        <f t="shared" si="17"/>
        <v>0.75851118575285315</v>
      </c>
      <c r="L34" s="89">
        <f t="shared" si="17"/>
        <v>0.87556280137803111</v>
      </c>
      <c r="M34" s="89">
        <f t="shared" si="17"/>
        <v>0.63749227652911156</v>
      </c>
      <c r="N34" s="89">
        <f t="shared" si="17"/>
        <v>0.37646428322049208</v>
      </c>
      <c r="O34" s="89">
        <f t="shared" si="17"/>
        <v>0.46758044112292757</v>
      </c>
      <c r="P34" s="89">
        <f t="shared" si="17"/>
        <v>-1.5717156429126502</v>
      </c>
      <c r="Q34" s="89">
        <f t="shared" si="17"/>
        <v>-1.191917417363864</v>
      </c>
      <c r="R34" s="89">
        <f t="shared" si="13"/>
        <v>0.49096319544464961</v>
      </c>
      <c r="S34" s="88">
        <f t="shared" si="14"/>
        <v>1.9428246745829605</v>
      </c>
      <c r="T34" s="88">
        <f t="shared" si="15"/>
        <v>-1.5717156429126502</v>
      </c>
      <c r="U34" s="89">
        <f t="shared" si="16"/>
        <v>0.97895156156411889</v>
      </c>
    </row>
    <row r="35" spans="1:21" s="81" customFormat="1" x14ac:dyDescent="0.35">
      <c r="A35"/>
      <c r="B35" s="82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4"/>
    </row>
    <row r="36" spans="1:21" s="81" customFormat="1" x14ac:dyDescent="0.35">
      <c r="A36"/>
      <c r="B36" s="82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4"/>
    </row>
    <row r="37" spans="1:21" s="81" customFormat="1" x14ac:dyDescent="0.35">
      <c r="A37"/>
      <c r="B37" s="82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4"/>
    </row>
    <row r="38" spans="1:21" s="81" customFormat="1" x14ac:dyDescent="0.35">
      <c r="A38"/>
      <c r="B38" s="82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4"/>
    </row>
    <row r="39" spans="1:21" s="81" customFormat="1" x14ac:dyDescent="0.35">
      <c r="A39"/>
      <c r="B39" s="82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4"/>
    </row>
    <row r="40" spans="1:21" s="81" customFormat="1" x14ac:dyDescent="0.35">
      <c r="A40"/>
      <c r="B40" s="82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4"/>
    </row>
    <row r="41" spans="1:21" s="81" customFormat="1" x14ac:dyDescent="0.35">
      <c r="A41"/>
      <c r="B41" s="82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4"/>
    </row>
    <row r="42" spans="1:21" s="81" customFormat="1" x14ac:dyDescent="0.35">
      <c r="A42"/>
      <c r="B42" s="82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4"/>
    </row>
  </sheetData>
  <mergeCells count="3">
    <mergeCell ref="C32:D32"/>
    <mergeCell ref="C33:D33"/>
    <mergeCell ref="C34:D3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4"/>
  <sheetViews>
    <sheetView showGridLines="0" zoomScale="70" zoomScaleNormal="85" workbookViewId="0">
      <selection activeCell="C18" sqref="C18"/>
    </sheetView>
  </sheetViews>
  <sheetFormatPr baseColWidth="10" defaultColWidth="11.453125" defaultRowHeight="14.5" x14ac:dyDescent="0.35"/>
  <cols>
    <col min="2" max="2" width="20.1796875" customWidth="1"/>
    <col min="3" max="3" width="30.453125" customWidth="1"/>
    <col min="4" max="4" width="19.7265625" customWidth="1"/>
    <col min="18" max="18" width="14.26953125" customWidth="1"/>
    <col min="19" max="19" width="12.1796875" customWidth="1"/>
  </cols>
  <sheetData>
    <row r="2" spans="2:20" ht="17.5" x14ac:dyDescent="0.35">
      <c r="B2" s="54" t="s">
        <v>0</v>
      </c>
    </row>
    <row r="4" spans="2:20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92</v>
      </c>
      <c r="R4" s="5" t="s">
        <v>93</v>
      </c>
      <c r="S4" s="23" t="s">
        <v>19</v>
      </c>
      <c r="T4" s="23" t="s">
        <v>94</v>
      </c>
    </row>
    <row r="5" spans="2:20" ht="26.5" customHeight="1" x14ac:dyDescent="0.35">
      <c r="B5" s="132" t="s">
        <v>95</v>
      </c>
      <c r="C5" s="40" t="s">
        <v>42</v>
      </c>
      <c r="D5" s="42" t="s">
        <v>44</v>
      </c>
      <c r="E5" s="3">
        <v>6.878443538241652</v>
      </c>
      <c r="F5" s="3">
        <v>6.6385051847325016</v>
      </c>
      <c r="G5" s="3">
        <v>6.1668479655895947</v>
      </c>
      <c r="H5" s="3">
        <v>5.5220118653198647</v>
      </c>
      <c r="I5" s="3">
        <v>5.7891859275132296</v>
      </c>
      <c r="J5" s="3">
        <v>4.7778433975107726</v>
      </c>
      <c r="K5" s="3">
        <v>4.305751822864412</v>
      </c>
      <c r="L5" s="3">
        <v>3.5841720878375005</v>
      </c>
      <c r="M5" s="3">
        <v>3.2144643921257154</v>
      </c>
      <c r="N5" s="3">
        <v>3.1844079970759109</v>
      </c>
      <c r="O5" s="3">
        <v>0.16097470402758329</v>
      </c>
      <c r="P5" s="33">
        <v>1.9278133592164126</v>
      </c>
      <c r="Q5" s="3">
        <f>P5-O5</f>
        <v>1.7668386551888293</v>
      </c>
      <c r="R5" s="29"/>
      <c r="S5" s="25" t="s">
        <v>45</v>
      </c>
      <c r="T5" s="24" t="s">
        <v>96</v>
      </c>
    </row>
    <row r="6" spans="2:20" ht="26.5" customHeight="1" x14ac:dyDescent="0.35">
      <c r="B6" s="132"/>
      <c r="C6" s="40" t="s">
        <v>69</v>
      </c>
      <c r="D6" s="42" t="s">
        <v>44</v>
      </c>
      <c r="E6" s="3" t="s">
        <v>24</v>
      </c>
      <c r="F6" s="3" t="s">
        <v>24</v>
      </c>
      <c r="G6" s="3">
        <v>6.8332251135139632</v>
      </c>
      <c r="H6" s="3">
        <v>6.190021695802761</v>
      </c>
      <c r="I6" s="3">
        <v>6.9146467333217831</v>
      </c>
      <c r="J6" s="3">
        <v>5.4324966528103591</v>
      </c>
      <c r="K6" s="3">
        <v>4.2639119533900649</v>
      </c>
      <c r="L6" s="3">
        <v>3.4549017597298004</v>
      </c>
      <c r="M6" s="3">
        <v>3.1878475182352206</v>
      </c>
      <c r="N6" s="3">
        <v>2.9438519880470082</v>
      </c>
      <c r="O6" s="3">
        <v>-0.25073925557830279</v>
      </c>
      <c r="P6" s="33">
        <v>1.9141947445474816</v>
      </c>
      <c r="Q6" s="3">
        <f t="shared" ref="Q6:Q13" si="0">P6-O6</f>
        <v>2.1649340001257844</v>
      </c>
      <c r="R6" s="29"/>
      <c r="S6" s="25" t="s">
        <v>49</v>
      </c>
      <c r="T6" s="24" t="s">
        <v>97</v>
      </c>
    </row>
    <row r="7" spans="2:20" ht="26.5" customHeight="1" x14ac:dyDescent="0.35">
      <c r="B7" s="132"/>
      <c r="C7" s="40" t="s">
        <v>71</v>
      </c>
      <c r="D7" s="42" t="s">
        <v>44</v>
      </c>
      <c r="E7" s="3" t="s">
        <v>24</v>
      </c>
      <c r="F7" s="3" t="s">
        <v>24</v>
      </c>
      <c r="G7" s="3">
        <v>5.1590574732283567</v>
      </c>
      <c r="H7" s="3">
        <v>4.5801034389844286</v>
      </c>
      <c r="I7" s="3">
        <v>4.3855161000902809</v>
      </c>
      <c r="J7" s="3">
        <v>4.1238731089829228</v>
      </c>
      <c r="K7" s="3">
        <v>4.2555400553414335</v>
      </c>
      <c r="L7" s="3">
        <v>3.7876166507201825</v>
      </c>
      <c r="M7" s="3">
        <v>3.3997386377436767</v>
      </c>
      <c r="N7" s="3">
        <v>3.5911343552476493</v>
      </c>
      <c r="O7" s="3">
        <v>0.66364052938623352</v>
      </c>
      <c r="P7" s="33">
        <v>1.827757546904607</v>
      </c>
      <c r="Q7" s="3">
        <f>P7-O7</f>
        <v>1.1641170175183735</v>
      </c>
      <c r="R7" s="29"/>
      <c r="S7" s="25" t="s">
        <v>49</v>
      </c>
      <c r="T7" s="24" t="s">
        <v>97</v>
      </c>
    </row>
    <row r="8" spans="2:20" ht="26.5" customHeight="1" x14ac:dyDescent="0.35">
      <c r="B8" s="132"/>
      <c r="C8" s="40" t="s">
        <v>98</v>
      </c>
      <c r="D8" s="42" t="s">
        <v>75</v>
      </c>
      <c r="E8" s="3">
        <v>71.333333333333329</v>
      </c>
      <c r="F8" s="3">
        <v>55.416666666666664</v>
      </c>
      <c r="G8" s="3">
        <v>60.916666666666664</v>
      </c>
      <c r="H8" s="3">
        <v>56.833333333333336</v>
      </c>
      <c r="I8" s="3">
        <v>53.708157187326371</v>
      </c>
      <c r="J8" s="3">
        <v>46.89689073547305</v>
      </c>
      <c r="K8" s="3">
        <v>54.940128517768045</v>
      </c>
      <c r="L8" s="3">
        <v>55.624168584303952</v>
      </c>
      <c r="M8" s="3">
        <v>56.822969754536949</v>
      </c>
      <c r="N8" s="3">
        <v>51.954527537028007</v>
      </c>
      <c r="O8" s="3">
        <v>37.260452412222683</v>
      </c>
      <c r="P8" s="31">
        <v>41.329048814879421</v>
      </c>
      <c r="Q8" s="3">
        <f>P8-O8</f>
        <v>4.0685964026567376</v>
      </c>
      <c r="R8" s="29"/>
      <c r="S8" s="25" t="s">
        <v>45</v>
      </c>
      <c r="T8" s="26" t="s">
        <v>99</v>
      </c>
    </row>
    <row r="9" spans="2:20" ht="26.5" customHeight="1" x14ac:dyDescent="0.35">
      <c r="B9" s="132"/>
      <c r="C9" s="40" t="s">
        <v>100</v>
      </c>
      <c r="D9" s="42" t="s">
        <v>78</v>
      </c>
      <c r="E9" s="3">
        <v>0.50767522687047517</v>
      </c>
      <c r="F9" s="3">
        <v>4.3853134347819491</v>
      </c>
      <c r="G9" s="3">
        <v>4.7904506806778073</v>
      </c>
      <c r="H9" s="3">
        <v>0.85900127628011091</v>
      </c>
      <c r="I9" s="3">
        <v>1.1020715531659988</v>
      </c>
      <c r="J9" s="3">
        <v>1.5936709893486665</v>
      </c>
      <c r="K9" s="3">
        <v>2.0813806380640472</v>
      </c>
      <c r="L9" s="3">
        <v>-2.7507507056949407</v>
      </c>
      <c r="M9" s="3">
        <v>0.70106892206645455</v>
      </c>
      <c r="N9" s="3">
        <v>-0.10070727527113377</v>
      </c>
      <c r="O9" s="3">
        <v>-12.095951222653952</v>
      </c>
      <c r="P9" s="33">
        <v>-2.7995344098616783</v>
      </c>
      <c r="Q9" s="3">
        <f>P9/O9*100-100</f>
        <v>-76.855607646477949</v>
      </c>
      <c r="R9" s="29"/>
      <c r="S9" s="25" t="s">
        <v>49</v>
      </c>
      <c r="T9" s="91" t="s">
        <v>101</v>
      </c>
    </row>
    <row r="10" spans="2:20" ht="26.5" customHeight="1" x14ac:dyDescent="0.35">
      <c r="B10" s="133"/>
      <c r="C10" s="40" t="s">
        <v>47</v>
      </c>
      <c r="D10" s="42" t="s">
        <v>48</v>
      </c>
      <c r="E10" s="3">
        <v>30.017811636601166</v>
      </c>
      <c r="F10" s="3">
        <v>32.519946811063889</v>
      </c>
      <c r="G10" s="3">
        <v>33.15791269029495</v>
      </c>
      <c r="H10" s="3">
        <v>33.493863322819408</v>
      </c>
      <c r="I10" s="3">
        <v>34.540161415884583</v>
      </c>
      <c r="J10" s="3">
        <v>34.145076093543523</v>
      </c>
      <c r="K10" s="3">
        <v>35.194755587454154</v>
      </c>
      <c r="L10" s="3">
        <v>34.291951627891166</v>
      </c>
      <c r="M10" s="3">
        <v>34.260921747319088</v>
      </c>
      <c r="N10" s="3">
        <v>33.59645377192389</v>
      </c>
      <c r="O10" s="3">
        <v>31.581858950866064</v>
      </c>
      <c r="P10" s="33">
        <v>28.595077555710098</v>
      </c>
      <c r="Q10" s="3">
        <f>P10-O10</f>
        <v>-2.9867813951559654</v>
      </c>
      <c r="R10" s="30"/>
      <c r="S10" s="25" t="s">
        <v>49</v>
      </c>
      <c r="T10" s="26" t="s">
        <v>102</v>
      </c>
    </row>
    <row r="11" spans="2:20" ht="26.5" customHeight="1" x14ac:dyDescent="0.35">
      <c r="B11" s="44" t="s">
        <v>103</v>
      </c>
      <c r="C11" s="40" t="s">
        <v>7</v>
      </c>
      <c r="D11" s="42" t="s">
        <v>104</v>
      </c>
      <c r="E11" s="3">
        <v>67.599999999999994</v>
      </c>
      <c r="F11" s="3">
        <v>68.599999999999994</v>
      </c>
      <c r="G11" s="3">
        <v>68.7</v>
      </c>
      <c r="H11" s="3">
        <v>68.2</v>
      </c>
      <c r="I11" s="3">
        <v>67.400000000000006</v>
      </c>
      <c r="J11" s="3">
        <v>67.7</v>
      </c>
      <c r="K11" s="3">
        <v>67.400000000000006</v>
      </c>
      <c r="L11" s="3">
        <v>68.900000000000006</v>
      </c>
      <c r="M11" s="3">
        <v>68.7</v>
      </c>
      <c r="N11" s="3">
        <v>67.8</v>
      </c>
      <c r="O11" s="3">
        <v>67.900000000000006</v>
      </c>
      <c r="P11" s="31">
        <v>67.7</v>
      </c>
      <c r="Q11" s="3">
        <f>P11-O11</f>
        <v>-0.20000000000000284</v>
      </c>
      <c r="R11" s="32"/>
      <c r="S11" s="25" t="s">
        <v>105</v>
      </c>
      <c r="T11" s="24" t="s">
        <v>106</v>
      </c>
    </row>
    <row r="12" spans="2:20" ht="26.5" customHeight="1" x14ac:dyDescent="0.35">
      <c r="B12" s="134" t="s">
        <v>107</v>
      </c>
      <c r="C12" s="40" t="s">
        <v>108</v>
      </c>
      <c r="D12" s="42" t="s">
        <v>55</v>
      </c>
      <c r="E12" s="3">
        <v>2.0764442319031202</v>
      </c>
      <c r="F12" s="3">
        <v>4.7384208424835199</v>
      </c>
      <c r="G12" s="3">
        <v>2.6493688807159002</v>
      </c>
      <c r="H12" s="3">
        <v>2.8596811557922499</v>
      </c>
      <c r="I12" s="3">
        <v>3.2240611887172999</v>
      </c>
      <c r="J12" s="3">
        <v>4.3979285416694003</v>
      </c>
      <c r="K12" s="3">
        <v>3.2348819503701201</v>
      </c>
      <c r="L12" s="3">
        <v>1.3648558837145399</v>
      </c>
      <c r="M12" s="3">
        <v>2.1925231538681902</v>
      </c>
      <c r="N12" s="3">
        <v>1.90009157916242</v>
      </c>
      <c r="O12" s="3">
        <v>1.9732322294607501</v>
      </c>
      <c r="P12" s="33">
        <v>6.4303871634072296</v>
      </c>
      <c r="Q12" s="3">
        <f t="shared" si="0"/>
        <v>4.4571549339464793</v>
      </c>
      <c r="R12" s="30"/>
      <c r="S12" s="25" t="s">
        <v>45</v>
      </c>
      <c r="T12" s="26" t="s">
        <v>109</v>
      </c>
    </row>
    <row r="13" spans="2:20" ht="26.5" customHeight="1" x14ac:dyDescent="0.35">
      <c r="B13" s="132"/>
      <c r="C13" s="49" t="s">
        <v>82</v>
      </c>
      <c r="D13" s="42" t="s">
        <v>81</v>
      </c>
      <c r="E13" s="3">
        <v>23.8027565211063</v>
      </c>
      <c r="F13" s="3">
        <v>21.611401597662798</v>
      </c>
      <c r="G13" s="3">
        <v>19.875581324790002</v>
      </c>
      <c r="H13" s="3">
        <v>19.1955168804922</v>
      </c>
      <c r="I13" s="3">
        <v>19.869186077031099</v>
      </c>
      <c r="J13" s="3">
        <v>23.256266030345099</v>
      </c>
      <c r="K13" s="3">
        <v>23.743826842399699</v>
      </c>
      <c r="L13" s="3">
        <v>24.736716589765201</v>
      </c>
      <c r="M13" s="3">
        <v>25.5919748496399</v>
      </c>
      <c r="N13" s="3">
        <v>26.608279872790099</v>
      </c>
      <c r="O13" s="3">
        <v>34.636906859547103</v>
      </c>
      <c r="P13" s="33">
        <v>35.947971341043001</v>
      </c>
      <c r="Q13" s="3">
        <f t="shared" si="0"/>
        <v>1.3110644814958974</v>
      </c>
      <c r="R13" s="32"/>
      <c r="S13" s="25" t="s">
        <v>45</v>
      </c>
      <c r="T13" s="26" t="s">
        <v>110</v>
      </c>
    </row>
    <row r="14" spans="2:20" ht="26.5" customHeight="1" x14ac:dyDescent="0.35">
      <c r="B14" s="132"/>
      <c r="C14" s="40" t="s">
        <v>111</v>
      </c>
      <c r="D14" s="42" t="s">
        <v>112</v>
      </c>
      <c r="E14" s="3">
        <v>171.61685823754789</v>
      </c>
      <c r="F14" s="3">
        <v>191.27307692307693</v>
      </c>
      <c r="G14" s="3">
        <v>157.01149425287358</v>
      </c>
      <c r="H14" s="3">
        <v>158.62835249042146</v>
      </c>
      <c r="I14" s="3">
        <v>162.04214559386972</v>
      </c>
      <c r="J14" s="3">
        <v>200.86973180076629</v>
      </c>
      <c r="K14" s="3">
        <v>199.28076923076924</v>
      </c>
      <c r="L14" s="3">
        <v>145.04615384615386</v>
      </c>
      <c r="M14" s="3">
        <v>147.58237547892719</v>
      </c>
      <c r="N14" s="3">
        <v>128.68199233716476</v>
      </c>
      <c r="O14" s="3">
        <v>172.66153846153847</v>
      </c>
      <c r="P14" s="31">
        <v>165.727969348659</v>
      </c>
      <c r="Q14" s="3">
        <f>P14-O14</f>
        <v>-6.9335691128794679</v>
      </c>
      <c r="R14" s="29"/>
      <c r="S14" s="25" t="s">
        <v>45</v>
      </c>
      <c r="T14" s="26" t="s">
        <v>113</v>
      </c>
    </row>
    <row r="15" spans="2:20" ht="26.5" customHeight="1" x14ac:dyDescent="0.35">
      <c r="B15" s="133"/>
      <c r="C15" s="40" t="s">
        <v>114</v>
      </c>
      <c r="D15" s="42" t="s">
        <v>57</v>
      </c>
      <c r="E15" s="3">
        <v>7.706288443262781</v>
      </c>
      <c r="F15" s="3">
        <v>7.1715381328523966</v>
      </c>
      <c r="G15" s="3">
        <v>6.4672332524315523</v>
      </c>
      <c r="H15" s="3">
        <v>6.6486219480026056</v>
      </c>
      <c r="I15" s="3">
        <v>6.3647936571990806</v>
      </c>
      <c r="J15" s="3">
        <v>6.8844520533615032</v>
      </c>
      <c r="K15" s="3">
        <v>7.793599975786333</v>
      </c>
      <c r="L15" s="3">
        <v>8.9464702618187815</v>
      </c>
      <c r="M15" s="3">
        <v>9.3286762242699321</v>
      </c>
      <c r="N15" s="3">
        <v>9.3733613785410625</v>
      </c>
      <c r="O15" s="3">
        <v>12.037679586915138</v>
      </c>
      <c r="P15" s="33">
        <v>9.221444799595119</v>
      </c>
      <c r="Q15" s="3">
        <f t="shared" ref="Q15" si="1">P15-O15</f>
        <v>-2.8162347873200186</v>
      </c>
      <c r="R15" s="29"/>
      <c r="S15" s="25" t="s">
        <v>45</v>
      </c>
      <c r="T15" s="24" t="s">
        <v>115</v>
      </c>
    </row>
    <row r="16" spans="2:20" ht="26.5" customHeight="1" x14ac:dyDescent="0.35"/>
    <row r="17" spans="2:18" ht="17.5" x14ac:dyDescent="0.35">
      <c r="B17" s="54" t="s">
        <v>0</v>
      </c>
    </row>
    <row r="19" spans="2:18" x14ac:dyDescent="0.35">
      <c r="B19" s="4" t="s">
        <v>15</v>
      </c>
      <c r="C19" s="4" t="s">
        <v>17</v>
      </c>
      <c r="D19" s="7" t="s">
        <v>18</v>
      </c>
      <c r="E19" s="5">
        <v>2010</v>
      </c>
      <c r="F19" s="5">
        <v>2011</v>
      </c>
      <c r="G19" s="5">
        <v>2012</v>
      </c>
      <c r="H19" s="5">
        <v>2013</v>
      </c>
      <c r="I19" s="5">
        <v>2014</v>
      </c>
      <c r="J19" s="5">
        <v>2015</v>
      </c>
      <c r="K19" s="5">
        <v>2016</v>
      </c>
      <c r="L19" s="5">
        <v>2017</v>
      </c>
      <c r="M19" s="5">
        <v>2018</v>
      </c>
      <c r="N19" s="5">
        <v>2019</v>
      </c>
      <c r="O19" s="5">
        <v>2020</v>
      </c>
      <c r="P19" s="5">
        <v>2021</v>
      </c>
      <c r="Q19" s="5" t="s">
        <v>116</v>
      </c>
      <c r="R19" s="5" t="s">
        <v>117</v>
      </c>
    </row>
    <row r="20" spans="2:18" x14ac:dyDescent="0.35">
      <c r="B20" s="129" t="s">
        <v>95</v>
      </c>
      <c r="C20" s="69" t="s">
        <v>118</v>
      </c>
      <c r="D20" s="36" t="s">
        <v>119</v>
      </c>
      <c r="E20" s="78">
        <f>AVERAGE(E21:E27)</f>
        <v>10.49254062526779</v>
      </c>
      <c r="F20" s="78">
        <f t="shared" ref="F20:P20" si="2">AVERAGE(F21:F27)</f>
        <v>13.604730542437405</v>
      </c>
      <c r="G20" s="78">
        <f t="shared" si="2"/>
        <v>14.604668540312105</v>
      </c>
      <c r="H20" s="78">
        <f t="shared" si="2"/>
        <v>11.158318207205751</v>
      </c>
      <c r="I20" s="78">
        <f t="shared" si="2"/>
        <v>11.577329344774713</v>
      </c>
      <c r="J20" s="78">
        <f t="shared" si="2"/>
        <v>10.659300496588045</v>
      </c>
      <c r="K20" s="78">
        <f t="shared" si="2"/>
        <v>10.644131985678774</v>
      </c>
      <c r="L20" s="78">
        <f t="shared" si="2"/>
        <v>6.654985547357116</v>
      </c>
      <c r="M20" s="78">
        <f t="shared" si="2"/>
        <v>8.5899126435694324</v>
      </c>
      <c r="N20" s="78">
        <f t="shared" si="2"/>
        <v>7.8522105991394238</v>
      </c>
      <c r="O20" s="78">
        <f t="shared" si="2"/>
        <v>-4.1465812222908749</v>
      </c>
      <c r="P20" s="78">
        <f t="shared" si="2"/>
        <v>4.0021459613182211</v>
      </c>
      <c r="Q20" s="37"/>
      <c r="R20" s="37"/>
    </row>
    <row r="21" spans="2:18" ht="26.5" customHeight="1" x14ac:dyDescent="0.35">
      <c r="B21" s="130"/>
      <c r="C21" s="40" t="s">
        <v>42</v>
      </c>
      <c r="D21" s="42" t="s">
        <v>120</v>
      </c>
      <c r="E21" s="77">
        <f>IFERROR((E5-0)/($Q21-0)*10,"")</f>
        <v>18.590387941193654</v>
      </c>
      <c r="F21" s="77">
        <f t="shared" ref="F21:P21" si="3">IFERROR((F5-0)/($Q21-0)*10,"")</f>
        <v>17.941905904682436</v>
      </c>
      <c r="G21" s="77">
        <f t="shared" si="3"/>
        <v>16.667156663755659</v>
      </c>
      <c r="H21" s="77">
        <f t="shared" si="3"/>
        <v>14.92435639275639</v>
      </c>
      <c r="I21" s="77">
        <f t="shared" si="3"/>
        <v>15.646448452738458</v>
      </c>
      <c r="J21" s="77">
        <f t="shared" si="3"/>
        <v>12.913090263542628</v>
      </c>
      <c r="K21" s="77">
        <f t="shared" si="3"/>
        <v>11.637167088822736</v>
      </c>
      <c r="L21" s="77">
        <f t="shared" si="3"/>
        <v>9.6869515887500022</v>
      </c>
      <c r="M21" s="77">
        <f t="shared" si="3"/>
        <v>8.6877416003397716</v>
      </c>
      <c r="N21" s="77">
        <f t="shared" si="3"/>
        <v>8.6065081002051649</v>
      </c>
      <c r="O21" s="77">
        <f t="shared" si="3"/>
        <v>0.43506676764211705</v>
      </c>
      <c r="P21" s="77">
        <f t="shared" si="3"/>
        <v>5.2103063762605739</v>
      </c>
      <c r="Q21" s="3">
        <v>3.7</v>
      </c>
      <c r="R21" s="75" t="s">
        <v>58</v>
      </c>
    </row>
    <row r="22" spans="2:18" ht="26.5" customHeight="1" x14ac:dyDescent="0.35">
      <c r="B22" s="130"/>
      <c r="C22" s="40" t="s">
        <v>121</v>
      </c>
      <c r="D22" s="42" t="s">
        <v>120</v>
      </c>
      <c r="E22" s="77" t="str">
        <f t="shared" ref="E22:P22" si="4">IFERROR((E6-0)/($Q22-0)*10,"")</f>
        <v/>
      </c>
      <c r="F22" s="77" t="str">
        <f t="shared" si="4"/>
        <v/>
      </c>
      <c r="G22" s="77">
        <f t="shared" si="4"/>
        <v>18.468175982470171</v>
      </c>
      <c r="H22" s="77">
        <f t="shared" si="4"/>
        <v>16.729788367034487</v>
      </c>
      <c r="I22" s="77">
        <f t="shared" si="4"/>
        <v>18.688234414383196</v>
      </c>
      <c r="J22" s="77">
        <f t="shared" si="4"/>
        <v>14.682423385973941</v>
      </c>
      <c r="K22" s="77">
        <f t="shared" si="4"/>
        <v>11.524086360513689</v>
      </c>
      <c r="L22" s="77">
        <f t="shared" si="4"/>
        <v>9.3375723235940544</v>
      </c>
      <c r="M22" s="77">
        <f t="shared" si="4"/>
        <v>8.6158041033384336</v>
      </c>
      <c r="N22" s="77">
        <f t="shared" si="4"/>
        <v>7.9563567244513731</v>
      </c>
      <c r="O22" s="77">
        <f t="shared" si="4"/>
        <v>-0.67767366372514259</v>
      </c>
      <c r="P22" s="77">
        <f t="shared" si="4"/>
        <v>5.1734993095877879</v>
      </c>
      <c r="Q22" s="3">
        <f>Q21</f>
        <v>3.7</v>
      </c>
      <c r="R22" s="75" t="s">
        <v>58</v>
      </c>
    </row>
    <row r="23" spans="2:18" ht="26.5" customHeight="1" x14ac:dyDescent="0.35">
      <c r="B23" s="130"/>
      <c r="C23" s="40" t="s">
        <v>71</v>
      </c>
      <c r="D23" s="42" t="s">
        <v>120</v>
      </c>
      <c r="E23" s="77" t="str">
        <f t="shared" ref="E23:P23" si="5">IFERROR((E7-0)/($Q23-0)*10,"")</f>
        <v/>
      </c>
      <c r="F23" s="77" t="str">
        <f t="shared" si="5"/>
        <v/>
      </c>
      <c r="G23" s="77">
        <f t="shared" si="5"/>
        <v>13.943398576292855</v>
      </c>
      <c r="H23" s="77">
        <f t="shared" si="5"/>
        <v>12.378657943201157</v>
      </c>
      <c r="I23" s="77">
        <f t="shared" si="5"/>
        <v>11.852746216460217</v>
      </c>
      <c r="J23" s="77">
        <f t="shared" si="5"/>
        <v>11.145602997251142</v>
      </c>
      <c r="K23" s="77">
        <f t="shared" si="5"/>
        <v>11.501459609030903</v>
      </c>
      <c r="L23" s="77">
        <f t="shared" si="5"/>
        <v>10.236801758703196</v>
      </c>
      <c r="M23" s="77">
        <f t="shared" si="5"/>
        <v>9.1884828047126383</v>
      </c>
      <c r="N23" s="77">
        <f t="shared" si="5"/>
        <v>9.7057685276963497</v>
      </c>
      <c r="O23" s="77">
        <f t="shared" si="5"/>
        <v>1.7936230523952257</v>
      </c>
      <c r="P23" s="77">
        <f t="shared" si="5"/>
        <v>4.939885261904343</v>
      </c>
      <c r="Q23" s="3">
        <f>Q22</f>
        <v>3.7</v>
      </c>
      <c r="R23" s="75" t="s">
        <v>58</v>
      </c>
    </row>
    <row r="24" spans="2:18" ht="26.5" customHeight="1" x14ac:dyDescent="0.35">
      <c r="B24" s="130"/>
      <c r="C24" s="40" t="s">
        <v>98</v>
      </c>
      <c r="D24" s="42" t="s">
        <v>120</v>
      </c>
      <c r="E24" s="77">
        <f>IFERROR((E8-0)/($Q24-0)*10,"")</f>
        <v>12.617206057402434</v>
      </c>
      <c r="F24" s="77">
        <f t="shared" ref="F24:P27" si="6">IFERROR((F8-0)/($Q24-0)*10,"")</f>
        <v>9.8019182572110033</v>
      </c>
      <c r="G24" s="77">
        <f t="shared" si="6"/>
        <v>10.774740219580819</v>
      </c>
      <c r="H24" s="77">
        <f t="shared" si="6"/>
        <v>10.052493611154745</v>
      </c>
      <c r="I24" s="77">
        <f t="shared" si="6"/>
        <v>9.4997227036802308</v>
      </c>
      <c r="J24" s="77">
        <f t="shared" si="6"/>
        <v>8.2949682316955702</v>
      </c>
      <c r="K24" s="77">
        <f t="shared" si="6"/>
        <v>9.7176297522736164</v>
      </c>
      <c r="L24" s="77">
        <f t="shared" si="6"/>
        <v>9.838620515885804</v>
      </c>
      <c r="M24" s="77">
        <f t="shared" si="6"/>
        <v>10.050660535325314</v>
      </c>
      <c r="N24" s="77">
        <f t="shared" si="6"/>
        <v>9.1895464422851134</v>
      </c>
      <c r="O24" s="77">
        <f t="shared" si="6"/>
        <v>6.5905066244446431</v>
      </c>
      <c r="P24" s="77">
        <f t="shared" si="6"/>
        <v>7.3101466129034245</v>
      </c>
      <c r="Q24" s="3">
        <v>56.5365525527599</v>
      </c>
      <c r="R24" s="75" t="s">
        <v>87</v>
      </c>
    </row>
    <row r="25" spans="2:18" ht="26.5" customHeight="1" x14ac:dyDescent="0.35">
      <c r="B25" s="130"/>
      <c r="C25" s="40" t="s">
        <v>100</v>
      </c>
      <c r="D25" s="42" t="s">
        <v>120</v>
      </c>
      <c r="E25" s="77">
        <f>IFERROR((E9-0)/($Q25-0)*10,"")</f>
        <v>2.373839857941892</v>
      </c>
      <c r="F25" s="77">
        <f t="shared" si="6"/>
        <v>20.505298013506177</v>
      </c>
      <c r="G25" s="77">
        <f t="shared" si="6"/>
        <v>22.399680270786902</v>
      </c>
      <c r="H25" s="77">
        <f t="shared" si="6"/>
        <v>4.016606207529076</v>
      </c>
      <c r="I25" s="77">
        <f t="shared" si="6"/>
        <v>5.1531791207074988</v>
      </c>
      <c r="J25" s="77">
        <f t="shared" si="6"/>
        <v>7.4518501489275</v>
      </c>
      <c r="K25" s="77">
        <f t="shared" si="6"/>
        <v>9.7323329102397604</v>
      </c>
      <c r="L25" s="77">
        <f t="shared" si="6"/>
        <v>-12.862242076874901</v>
      </c>
      <c r="M25" s="77">
        <f t="shared" si="6"/>
        <v>3.27812991905218</v>
      </c>
      <c r="N25" s="77">
        <f t="shared" si="6"/>
        <v>-0.47089739930196772</v>
      </c>
      <c r="O25" s="77">
        <f t="shared" si="6"/>
        <v>-56.559488453004164</v>
      </c>
      <c r="P25" s="77">
        <f t="shared" si="6"/>
        <v>-13.090349920708285</v>
      </c>
      <c r="Q25" s="3">
        <v>2.1386245798005397</v>
      </c>
      <c r="R25" s="75" t="s">
        <v>88</v>
      </c>
    </row>
    <row r="26" spans="2:18" ht="26.5" customHeight="1" x14ac:dyDescent="0.35">
      <c r="B26" s="131"/>
      <c r="C26" s="40" t="s">
        <v>47</v>
      </c>
      <c r="D26" s="42" t="s">
        <v>120</v>
      </c>
      <c r="E26" s="77">
        <f>IFERROR((E10-0)/($Q26-0)*10,"")</f>
        <v>8.9546907088611647</v>
      </c>
      <c r="F26" s="77">
        <f t="shared" si="6"/>
        <v>9.701109097727203</v>
      </c>
      <c r="G26" s="77">
        <f t="shared" si="6"/>
        <v>9.8914223424260648</v>
      </c>
      <c r="H26" s="77">
        <f t="shared" si="6"/>
        <v>9.9916406409523546</v>
      </c>
      <c r="I26" s="77">
        <f t="shared" si="6"/>
        <v>10.303764520137664</v>
      </c>
      <c r="J26" s="77">
        <f t="shared" si="6"/>
        <v>10.185905599973706</v>
      </c>
      <c r="K26" s="77">
        <f t="shared" si="6"/>
        <v>10.499038193554997</v>
      </c>
      <c r="L26" s="77">
        <f t="shared" si="6"/>
        <v>10.229720418945325</v>
      </c>
      <c r="M26" s="77">
        <f t="shared" si="6"/>
        <v>10.220463815345447</v>
      </c>
      <c r="N26" s="77">
        <f t="shared" si="6"/>
        <v>10.022244662076055</v>
      </c>
      <c r="O26" s="77">
        <f t="shared" si="6"/>
        <v>9.4212656918352717</v>
      </c>
      <c r="P26" s="77">
        <f t="shared" si="6"/>
        <v>8.5302712405278669</v>
      </c>
      <c r="Q26" s="3">
        <f>AVERAGE(E10:N10)</f>
        <v>33.521885470479589</v>
      </c>
      <c r="R26" s="75" t="s">
        <v>59</v>
      </c>
    </row>
    <row r="27" spans="2:18" ht="26.5" customHeight="1" x14ac:dyDescent="0.35">
      <c r="B27" s="70" t="s">
        <v>103</v>
      </c>
      <c r="C27" s="40" t="s">
        <v>7</v>
      </c>
      <c r="D27" s="42" t="s">
        <v>120</v>
      </c>
      <c r="E27" s="77">
        <f>IFERROR((E11-0)/($Q27-0)*10,"")</f>
        <v>9.9265785609397952</v>
      </c>
      <c r="F27" s="77">
        <f t="shared" si="6"/>
        <v>10.073421439060207</v>
      </c>
      <c r="G27" s="77">
        <f t="shared" si="6"/>
        <v>10.088105726872246</v>
      </c>
      <c r="H27" s="77">
        <f t="shared" si="6"/>
        <v>10.014684287812043</v>
      </c>
      <c r="I27" s="77">
        <f t="shared" si="6"/>
        <v>9.8972099853157136</v>
      </c>
      <c r="J27" s="77">
        <f t="shared" si="6"/>
        <v>9.9412628487518369</v>
      </c>
      <c r="K27" s="77">
        <f t="shared" si="6"/>
        <v>9.8972099853157136</v>
      </c>
      <c r="L27" s="77">
        <f t="shared" si="6"/>
        <v>10.11747430249633</v>
      </c>
      <c r="M27" s="77">
        <f t="shared" si="6"/>
        <v>10.088105726872246</v>
      </c>
      <c r="N27" s="77">
        <f t="shared" si="6"/>
        <v>9.9559471365638768</v>
      </c>
      <c r="O27" s="77">
        <f t="shared" si="6"/>
        <v>9.9706314243759202</v>
      </c>
      <c r="P27" s="77">
        <f t="shared" si="6"/>
        <v>9.9412628487518369</v>
      </c>
      <c r="Q27" s="3">
        <f>AVERAGE(E11:N11)</f>
        <v>68.099999999999994</v>
      </c>
      <c r="R27" s="75" t="s">
        <v>59</v>
      </c>
    </row>
    <row r="28" spans="2:18" ht="26.5" customHeight="1" x14ac:dyDescent="0.35">
      <c r="B28" s="129" t="s">
        <v>107</v>
      </c>
      <c r="C28" s="71" t="s">
        <v>122</v>
      </c>
      <c r="D28" s="36" t="s">
        <v>119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75"/>
    </row>
    <row r="29" spans="2:18" ht="26.5" customHeight="1" x14ac:dyDescent="0.35">
      <c r="B29" s="130"/>
      <c r="C29" s="40" t="s">
        <v>108</v>
      </c>
      <c r="D29" s="42" t="s">
        <v>55</v>
      </c>
      <c r="E29" s="3">
        <v>2.0764442319031202</v>
      </c>
      <c r="F29" s="3">
        <v>4.7384208424835199</v>
      </c>
      <c r="G29" s="3">
        <v>2.6493688807159002</v>
      </c>
      <c r="H29" s="3">
        <v>2.8596811557922499</v>
      </c>
      <c r="I29" s="3">
        <v>3.2240611887172999</v>
      </c>
      <c r="J29" s="3">
        <v>4.3979285416694003</v>
      </c>
      <c r="K29" s="3">
        <v>3.2348819503701201</v>
      </c>
      <c r="L29" s="3">
        <v>1.3648558837145399</v>
      </c>
      <c r="M29" s="3">
        <v>2.1925231538681902</v>
      </c>
      <c r="N29" s="3">
        <v>1.90009157916242</v>
      </c>
      <c r="O29" s="3">
        <v>1.9732322294607501</v>
      </c>
      <c r="P29" s="33">
        <v>6.4303871634072296</v>
      </c>
      <c r="Q29" s="3">
        <f t="shared" ref="Q29:Q30" si="7">P29-O29</f>
        <v>4.4571549339464793</v>
      </c>
      <c r="R29" s="75"/>
    </row>
    <row r="30" spans="2:18" ht="26.5" customHeight="1" x14ac:dyDescent="0.35">
      <c r="B30" s="130"/>
      <c r="C30" s="49" t="s">
        <v>82</v>
      </c>
      <c r="D30" s="42" t="s">
        <v>81</v>
      </c>
      <c r="E30" s="3">
        <v>23.8027565211063</v>
      </c>
      <c r="F30" s="3">
        <v>21.611401597662798</v>
      </c>
      <c r="G30" s="3">
        <v>19.875581324790002</v>
      </c>
      <c r="H30" s="3">
        <v>19.1955168804922</v>
      </c>
      <c r="I30" s="3">
        <v>19.869186077031099</v>
      </c>
      <c r="J30" s="3">
        <v>23.256266030345099</v>
      </c>
      <c r="K30" s="3">
        <v>23.743826842399699</v>
      </c>
      <c r="L30" s="3">
        <v>24.736716589765201</v>
      </c>
      <c r="M30" s="3">
        <v>25.5919748496399</v>
      </c>
      <c r="N30" s="3">
        <v>26.608279872790099</v>
      </c>
      <c r="O30" s="3">
        <v>34.636906859547103</v>
      </c>
      <c r="P30" s="33">
        <v>35.947971341043001</v>
      </c>
      <c r="Q30" s="3">
        <f t="shared" si="7"/>
        <v>1.3110644814958974</v>
      </c>
      <c r="R30" s="75"/>
    </row>
    <row r="31" spans="2:18" ht="26.5" customHeight="1" x14ac:dyDescent="0.35">
      <c r="B31" s="130"/>
      <c r="C31" s="40" t="s">
        <v>111</v>
      </c>
      <c r="D31" s="42" t="s">
        <v>112</v>
      </c>
      <c r="E31" s="3">
        <v>171.61685823754789</v>
      </c>
      <c r="F31" s="3">
        <v>191.27307692307693</v>
      </c>
      <c r="G31" s="3">
        <v>157.01149425287358</v>
      </c>
      <c r="H31" s="3">
        <v>158.62835249042146</v>
      </c>
      <c r="I31" s="3">
        <v>162.04214559386972</v>
      </c>
      <c r="J31" s="3">
        <v>200.86973180076629</v>
      </c>
      <c r="K31" s="3">
        <v>199.28076923076924</v>
      </c>
      <c r="L31" s="3">
        <v>145.04615384615386</v>
      </c>
      <c r="M31" s="3">
        <v>147.58237547892719</v>
      </c>
      <c r="N31" s="3">
        <v>128.68199233716476</v>
      </c>
      <c r="O31" s="3">
        <v>172.66153846153847</v>
      </c>
      <c r="P31" s="31">
        <v>165.727969348659</v>
      </c>
      <c r="Q31" s="3">
        <f>P31-O31</f>
        <v>-6.9335691128794679</v>
      </c>
      <c r="R31" s="75"/>
    </row>
    <row r="32" spans="2:18" ht="26.5" customHeight="1" x14ac:dyDescent="0.35">
      <c r="B32" s="131"/>
      <c r="C32" s="40" t="s">
        <v>114</v>
      </c>
      <c r="D32" s="42" t="s">
        <v>57</v>
      </c>
      <c r="E32" s="3">
        <v>7.706288443262781</v>
      </c>
      <c r="F32" s="3">
        <v>7.1715381328523966</v>
      </c>
      <c r="G32" s="3">
        <v>6.4672332524315523</v>
      </c>
      <c r="H32" s="3">
        <v>6.6486219480026056</v>
      </c>
      <c r="I32" s="3">
        <v>6.3647936571990806</v>
      </c>
      <c r="J32" s="3">
        <v>6.8844520533615032</v>
      </c>
      <c r="K32" s="3">
        <v>7.793599975786333</v>
      </c>
      <c r="L32" s="3">
        <v>8.9464702618187815</v>
      </c>
      <c r="M32" s="3">
        <v>9.3286762242699321</v>
      </c>
      <c r="N32" s="3">
        <v>9.3733613785410625</v>
      </c>
      <c r="O32" s="3">
        <v>12.037679586915138</v>
      </c>
      <c r="P32" s="33">
        <v>9.221444799595119</v>
      </c>
      <c r="Q32" s="3">
        <f t="shared" ref="Q32" si="8">P32-O32</f>
        <v>-2.8162347873200186</v>
      </c>
      <c r="R32" s="75"/>
    </row>
    <row r="33" spans="7:16" ht="23.5" customHeight="1" x14ac:dyDescent="0.35">
      <c r="G33" s="76">
        <f>G6-G7</f>
        <v>1.6741676402856065</v>
      </c>
      <c r="H33" s="76">
        <f t="shared" ref="H33:P33" si="9">H6-H7</f>
        <v>1.6099182568183323</v>
      </c>
      <c r="I33" s="76">
        <f t="shared" si="9"/>
        <v>2.5291306332315022</v>
      </c>
      <c r="J33" s="76">
        <f t="shared" si="9"/>
        <v>1.3086235438274363</v>
      </c>
      <c r="K33" s="76">
        <f t="shared" si="9"/>
        <v>8.3718980486313654E-3</v>
      </c>
      <c r="L33" s="76">
        <f t="shared" si="9"/>
        <v>-0.3327148909903821</v>
      </c>
      <c r="M33" s="76">
        <f t="shared" si="9"/>
        <v>-0.21189111950845607</v>
      </c>
      <c r="N33" s="76">
        <f t="shared" si="9"/>
        <v>-0.64728236720064114</v>
      </c>
      <c r="O33" s="76">
        <f t="shared" si="9"/>
        <v>-0.91437978496453631</v>
      </c>
      <c r="P33" s="76">
        <f t="shared" si="9"/>
        <v>8.6437197642874608E-2</v>
      </c>
    </row>
    <row r="34" spans="7:16" ht="23.5" customHeight="1" x14ac:dyDescent="0.35"/>
  </sheetData>
  <mergeCells count="4">
    <mergeCell ref="B28:B32"/>
    <mergeCell ref="B5:B10"/>
    <mergeCell ref="B12:B15"/>
    <mergeCell ref="B20:B26"/>
  </mergeCells>
  <hyperlinks>
    <hyperlink ref="T5" r:id="rId1"/>
    <hyperlink ref="T11" r:id="rId2"/>
    <hyperlink ref="T6" r:id="rId3"/>
    <hyperlink ref="T7" r:id="rId4"/>
    <hyperlink ref="T13" r:id="rId5"/>
    <hyperlink ref="T15" r:id="rId6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18" sqref="C18"/>
    </sheetView>
  </sheetViews>
  <sheetFormatPr baseColWidth="10" defaultColWidth="8.7265625" defaultRowHeight="14.5" x14ac:dyDescent="0.35"/>
  <sheetData>
    <row r="1" spans="1:4" x14ac:dyDescent="0.35">
      <c r="B1" t="s">
        <v>123</v>
      </c>
    </row>
    <row r="2" spans="1:4" x14ac:dyDescent="0.35">
      <c r="B2" t="s">
        <v>124</v>
      </c>
      <c r="C2" t="s">
        <v>125</v>
      </c>
      <c r="D2" t="s">
        <v>125</v>
      </c>
    </row>
    <row r="3" spans="1:4" x14ac:dyDescent="0.35">
      <c r="A3">
        <v>1980</v>
      </c>
      <c r="B3" s="73">
        <v>167596</v>
      </c>
      <c r="C3" s="11"/>
      <c r="D3" s="11"/>
    </row>
    <row r="4" spans="1:4" x14ac:dyDescent="0.35">
      <c r="A4">
        <v>1981</v>
      </c>
      <c r="B4" s="73">
        <v>176901</v>
      </c>
      <c r="C4" s="11"/>
      <c r="D4" s="11"/>
    </row>
    <row r="5" spans="1:4" x14ac:dyDescent="0.35">
      <c r="A5">
        <v>1982</v>
      </c>
      <c r="B5" s="73">
        <v>176507</v>
      </c>
      <c r="C5" s="11"/>
      <c r="D5" s="11"/>
    </row>
    <row r="6" spans="1:4" x14ac:dyDescent="0.35">
      <c r="A6">
        <v>1983</v>
      </c>
      <c r="B6" s="73">
        <v>158136</v>
      </c>
      <c r="C6" s="11"/>
      <c r="D6" s="11"/>
    </row>
    <row r="7" spans="1:4" x14ac:dyDescent="0.35">
      <c r="A7">
        <v>1984</v>
      </c>
      <c r="B7" s="73">
        <v>163842</v>
      </c>
      <c r="C7" s="11"/>
      <c r="D7" s="11"/>
    </row>
    <row r="8" spans="1:4" x14ac:dyDescent="0.35">
      <c r="A8">
        <v>1985</v>
      </c>
      <c r="B8" s="73">
        <v>167219</v>
      </c>
      <c r="C8" s="11">
        <f t="shared" ref="C8:C43" si="0">B8/B3*100-100</f>
        <v>-0.2249457027614028</v>
      </c>
      <c r="D8" s="11">
        <f t="shared" ref="D8:D43" si="1">(((1+C8%)^(1/5))-1)*100</f>
        <v>-4.5029675729235663E-2</v>
      </c>
    </row>
    <row r="9" spans="1:4" x14ac:dyDescent="0.35">
      <c r="A9">
        <v>1986</v>
      </c>
      <c r="B9" s="73">
        <v>182981</v>
      </c>
      <c r="C9" s="11">
        <f t="shared" si="0"/>
        <v>3.4369506107936161</v>
      </c>
      <c r="D9" s="11">
        <f t="shared" si="1"/>
        <v>0.67813032650283489</v>
      </c>
    </row>
    <row r="10" spans="1:4" x14ac:dyDescent="0.35">
      <c r="A10">
        <v>1987</v>
      </c>
      <c r="B10" s="73">
        <v>200778</v>
      </c>
      <c r="C10" s="11">
        <f t="shared" si="0"/>
        <v>13.750729432827029</v>
      </c>
      <c r="D10" s="11">
        <f t="shared" si="1"/>
        <v>2.6102718140151859</v>
      </c>
    </row>
    <row r="11" spans="1:4" x14ac:dyDescent="0.35">
      <c r="A11">
        <v>1988</v>
      </c>
      <c r="B11" s="73">
        <v>181822</v>
      </c>
      <c r="C11" s="11">
        <f t="shared" si="0"/>
        <v>14.978246572570455</v>
      </c>
      <c r="D11" s="11">
        <f t="shared" si="1"/>
        <v>2.8307814693962152</v>
      </c>
    </row>
    <row r="12" spans="1:4" x14ac:dyDescent="0.35">
      <c r="A12">
        <v>1989</v>
      </c>
      <c r="B12" s="73">
        <v>159436</v>
      </c>
      <c r="C12" s="11">
        <f t="shared" si="0"/>
        <v>-2.6891761575176076</v>
      </c>
      <c r="D12" s="11">
        <f t="shared" si="1"/>
        <v>-0.54371570681683856</v>
      </c>
    </row>
    <row r="13" spans="1:4" x14ac:dyDescent="0.35">
      <c r="A13">
        <v>1990</v>
      </c>
      <c r="B13" s="73">
        <v>151492</v>
      </c>
      <c r="C13" s="11">
        <f t="shared" si="0"/>
        <v>-9.4050317248638038</v>
      </c>
      <c r="D13" s="11">
        <f t="shared" si="1"/>
        <v>-1.9560464698872404</v>
      </c>
    </row>
    <row r="14" spans="1:4" x14ac:dyDescent="0.35">
      <c r="A14">
        <v>1991</v>
      </c>
      <c r="B14" s="73">
        <v>154854</v>
      </c>
      <c r="C14" s="11">
        <f t="shared" si="0"/>
        <v>-15.371541307567455</v>
      </c>
      <c r="D14" s="11">
        <f t="shared" si="1"/>
        <v>-3.282895489827764</v>
      </c>
    </row>
    <row r="15" spans="1:4" x14ac:dyDescent="0.35">
      <c r="A15">
        <v>1992</v>
      </c>
      <c r="B15" s="73">
        <v>154017</v>
      </c>
      <c r="C15" s="11">
        <f t="shared" si="0"/>
        <v>-23.289902280130292</v>
      </c>
      <c r="D15" s="11">
        <f t="shared" si="1"/>
        <v>-5.1645941313484656</v>
      </c>
    </row>
    <row r="16" spans="1:4" x14ac:dyDescent="0.35">
      <c r="A16">
        <v>1993</v>
      </c>
      <c r="B16" s="73">
        <v>162093</v>
      </c>
      <c r="C16" s="11">
        <f t="shared" si="0"/>
        <v>-10.850722134835166</v>
      </c>
      <c r="D16" s="11">
        <f t="shared" si="1"/>
        <v>-2.2709750228649628</v>
      </c>
    </row>
    <row r="17" spans="1:4" x14ac:dyDescent="0.35">
      <c r="A17">
        <v>1994</v>
      </c>
      <c r="B17" s="73">
        <v>182043.67132020701</v>
      </c>
      <c r="C17" s="11">
        <f t="shared" si="0"/>
        <v>14.179778293614362</v>
      </c>
      <c r="D17" s="11">
        <f t="shared" si="1"/>
        <v>2.6875610738644529</v>
      </c>
    </row>
    <row r="18" spans="1:4" x14ac:dyDescent="0.35">
      <c r="A18">
        <v>1995</v>
      </c>
      <c r="B18" s="73">
        <v>195535.99143694001</v>
      </c>
      <c r="C18" s="11">
        <f t="shared" si="0"/>
        <v>29.073476775631718</v>
      </c>
      <c r="D18" s="11">
        <f t="shared" si="1"/>
        <v>5.2367437712995013</v>
      </c>
    </row>
    <row r="19" spans="1:4" x14ac:dyDescent="0.35">
      <c r="A19">
        <v>1996</v>
      </c>
      <c r="B19" s="73">
        <v>201009.28972401601</v>
      </c>
      <c r="C19" s="11">
        <f t="shared" si="0"/>
        <v>29.805681302398398</v>
      </c>
      <c r="D19" s="11">
        <f t="shared" si="1"/>
        <v>5.355870595889245</v>
      </c>
    </row>
    <row r="20" spans="1:4" x14ac:dyDescent="0.35">
      <c r="A20">
        <v>1997</v>
      </c>
      <c r="B20" s="73">
        <v>214028.29138905701</v>
      </c>
      <c r="C20" s="11">
        <f t="shared" si="0"/>
        <v>38.964069803370421</v>
      </c>
      <c r="D20" s="11">
        <f t="shared" si="1"/>
        <v>6.802275300298577</v>
      </c>
    </row>
    <row r="21" spans="1:4" x14ac:dyDescent="0.35">
      <c r="A21">
        <v>1998</v>
      </c>
      <c r="B21" s="73">
        <v>213189.99339258901</v>
      </c>
      <c r="C21" s="11">
        <f t="shared" si="0"/>
        <v>31.523257261318491</v>
      </c>
      <c r="D21" s="11">
        <f t="shared" si="1"/>
        <v>5.6332182161128452</v>
      </c>
    </row>
    <row r="22" spans="1:4" x14ac:dyDescent="0.35">
      <c r="A22">
        <v>1999</v>
      </c>
      <c r="B22" s="73">
        <v>216376.74063051399</v>
      </c>
      <c r="C22" s="11">
        <f t="shared" si="0"/>
        <v>18.859798344715102</v>
      </c>
      <c r="D22" s="11">
        <f t="shared" si="1"/>
        <v>3.5158846141484901</v>
      </c>
    </row>
    <row r="23" spans="1:4" x14ac:dyDescent="0.35">
      <c r="A23">
        <v>2000</v>
      </c>
      <c r="B23" s="73">
        <v>222206.70734869401</v>
      </c>
      <c r="C23" s="11">
        <f t="shared" si="0"/>
        <v>13.639798850205679</v>
      </c>
      <c r="D23" s="11">
        <f t="shared" si="1"/>
        <v>2.5902507380043849</v>
      </c>
    </row>
    <row r="24" spans="1:4" x14ac:dyDescent="0.35">
      <c r="A24">
        <v>2001</v>
      </c>
      <c r="B24" s="73">
        <v>223579.57575061801</v>
      </c>
      <c r="C24" s="11">
        <f t="shared" si="0"/>
        <v>11.228479070589614</v>
      </c>
      <c r="D24" s="11">
        <f t="shared" si="1"/>
        <v>2.1511357796981212</v>
      </c>
    </row>
    <row r="25" spans="1:4" x14ac:dyDescent="0.35">
      <c r="A25">
        <v>2002</v>
      </c>
      <c r="B25" s="73">
        <v>235772.94712897899</v>
      </c>
      <c r="C25" s="11">
        <f t="shared" si="0"/>
        <v>10.159710942323457</v>
      </c>
      <c r="D25" s="11">
        <f t="shared" si="1"/>
        <v>1.9540676676996771</v>
      </c>
    </row>
    <row r="26" spans="1:4" x14ac:dyDescent="0.35">
      <c r="A26">
        <v>2003</v>
      </c>
      <c r="B26" s="73">
        <v>245592.61375299</v>
      </c>
      <c r="C26" s="11">
        <f t="shared" si="0"/>
        <v>15.198940552867143</v>
      </c>
      <c r="D26" s="11">
        <f t="shared" si="1"/>
        <v>2.8702267230033662</v>
      </c>
    </row>
    <row r="27" spans="1:4" x14ac:dyDescent="0.35">
      <c r="A27">
        <v>2004</v>
      </c>
      <c r="B27" s="73">
        <v>257769.78623307301</v>
      </c>
      <c r="C27" s="11">
        <f t="shared" si="0"/>
        <v>19.130080932886401</v>
      </c>
      <c r="D27" s="11">
        <f t="shared" si="1"/>
        <v>3.5629200751162493</v>
      </c>
    </row>
    <row r="28" spans="1:4" x14ac:dyDescent="0.35">
      <c r="A28">
        <v>2005</v>
      </c>
      <c r="B28" s="73">
        <v>273971.15388679103</v>
      </c>
      <c r="C28" s="11">
        <f t="shared" si="0"/>
        <v>23.295627371349582</v>
      </c>
      <c r="D28" s="11">
        <f t="shared" si="1"/>
        <v>4.2772417227965764</v>
      </c>
    </row>
    <row r="29" spans="1:4" x14ac:dyDescent="0.35">
      <c r="A29">
        <v>2006</v>
      </c>
      <c r="B29" s="73">
        <v>294597.830810429</v>
      </c>
      <c r="C29" s="11">
        <f t="shared" si="0"/>
        <v>31.76419617998792</v>
      </c>
      <c r="D29" s="11">
        <f t="shared" si="1"/>
        <v>5.6718920213001622</v>
      </c>
    </row>
    <row r="30" spans="1:4" x14ac:dyDescent="0.35">
      <c r="A30">
        <v>2007</v>
      </c>
      <c r="B30" s="73">
        <v>319693</v>
      </c>
      <c r="C30" s="11">
        <f t="shared" si="0"/>
        <v>35.593588616896199</v>
      </c>
      <c r="D30" s="11">
        <f t="shared" si="1"/>
        <v>6.2790909335817657</v>
      </c>
    </row>
    <row r="31" spans="1:4" x14ac:dyDescent="0.35">
      <c r="A31">
        <v>2008</v>
      </c>
      <c r="B31" s="73">
        <v>348870</v>
      </c>
      <c r="C31" s="11">
        <f t="shared" si="0"/>
        <v>42.052317726005981</v>
      </c>
      <c r="D31" s="11">
        <f t="shared" si="1"/>
        <v>7.2728119126956425</v>
      </c>
    </row>
    <row r="32" spans="1:4" x14ac:dyDescent="0.35">
      <c r="A32">
        <v>2009</v>
      </c>
      <c r="B32" s="73">
        <v>352693</v>
      </c>
      <c r="C32" s="11">
        <f t="shared" si="0"/>
        <v>36.824802143839435</v>
      </c>
      <c r="D32" s="11">
        <f t="shared" si="1"/>
        <v>6.4714002663635251</v>
      </c>
    </row>
    <row r="33" spans="1:4" x14ac:dyDescent="0.35">
      <c r="A33">
        <v>2010</v>
      </c>
      <c r="B33" s="73">
        <v>382081</v>
      </c>
      <c r="C33" s="11">
        <f t="shared" si="0"/>
        <v>39.460302509760425</v>
      </c>
      <c r="D33" s="11">
        <f t="shared" si="1"/>
        <v>6.878443538241652</v>
      </c>
    </row>
    <row r="34" spans="1:4" x14ac:dyDescent="0.35">
      <c r="A34">
        <v>2011</v>
      </c>
      <c r="B34" s="73">
        <v>406256</v>
      </c>
      <c r="C34" s="11">
        <f t="shared" si="0"/>
        <v>37.901897947586036</v>
      </c>
      <c r="D34" s="11">
        <f t="shared" si="1"/>
        <v>6.6385051847325016</v>
      </c>
    </row>
    <row r="35" spans="1:4" x14ac:dyDescent="0.35">
      <c r="A35">
        <v>2012</v>
      </c>
      <c r="B35" s="73">
        <v>431199</v>
      </c>
      <c r="C35" s="11">
        <f t="shared" si="0"/>
        <v>34.879087124209804</v>
      </c>
      <c r="D35" s="11">
        <f t="shared" si="1"/>
        <v>6.1668479655895947</v>
      </c>
    </row>
    <row r="36" spans="1:4" x14ac:dyDescent="0.35">
      <c r="A36">
        <v>2013</v>
      </c>
      <c r="B36" s="73">
        <v>456435</v>
      </c>
      <c r="C36" s="11">
        <f t="shared" si="0"/>
        <v>30.832401754235093</v>
      </c>
      <c r="D36" s="11">
        <f t="shared" si="1"/>
        <v>5.5220118653198647</v>
      </c>
    </row>
    <row r="37" spans="1:4" x14ac:dyDescent="0.35">
      <c r="A37">
        <v>2014</v>
      </c>
      <c r="B37" s="73">
        <v>467308</v>
      </c>
      <c r="C37" s="11">
        <f t="shared" si="0"/>
        <v>32.497100878100781</v>
      </c>
      <c r="D37" s="11">
        <f t="shared" si="1"/>
        <v>5.7891859275132296</v>
      </c>
    </row>
    <row r="38" spans="1:4" x14ac:dyDescent="0.35">
      <c r="A38">
        <v>2015</v>
      </c>
      <c r="B38" s="73">
        <v>482506</v>
      </c>
      <c r="C38" s="11">
        <f t="shared" si="0"/>
        <v>26.283693771739493</v>
      </c>
      <c r="D38" s="11">
        <f t="shared" si="1"/>
        <v>4.7778433975107726</v>
      </c>
    </row>
    <row r="39" spans="1:4" x14ac:dyDescent="0.35">
      <c r="A39">
        <v>2016</v>
      </c>
      <c r="B39" s="73">
        <v>501581</v>
      </c>
      <c r="C39" s="11">
        <f t="shared" si="0"/>
        <v>23.464268835414131</v>
      </c>
      <c r="D39" s="11">
        <f t="shared" si="1"/>
        <v>4.305751822864412</v>
      </c>
    </row>
    <row r="40" spans="1:4" x14ac:dyDescent="0.35">
      <c r="A40">
        <v>2017</v>
      </c>
      <c r="B40" s="73">
        <v>514215</v>
      </c>
      <c r="C40" s="11">
        <f t="shared" si="0"/>
        <v>19.252363757800921</v>
      </c>
      <c r="D40" s="11">
        <f t="shared" si="1"/>
        <v>3.5841720878375005</v>
      </c>
    </row>
    <row r="41" spans="1:4" x14ac:dyDescent="0.35">
      <c r="A41">
        <v>2018</v>
      </c>
      <c r="B41" s="73">
        <v>534665</v>
      </c>
      <c r="C41" s="11">
        <f t="shared" si="0"/>
        <v>17.139351714921077</v>
      </c>
      <c r="D41" s="11">
        <f t="shared" si="1"/>
        <v>3.2144643921257154</v>
      </c>
    </row>
    <row r="42" spans="1:4" x14ac:dyDescent="0.35">
      <c r="A42">
        <v>2019</v>
      </c>
      <c r="B42" s="73">
        <v>546605</v>
      </c>
      <c r="C42" s="11">
        <f t="shared" si="0"/>
        <v>16.968894176859806</v>
      </c>
      <c r="D42" s="11">
        <f t="shared" si="1"/>
        <v>3.1844079970759109</v>
      </c>
    </row>
    <row r="43" spans="1:4" x14ac:dyDescent="0.35">
      <c r="A43">
        <v>2020</v>
      </c>
      <c r="B43" s="73">
        <v>486402.08627829998</v>
      </c>
      <c r="C43" s="11">
        <f t="shared" si="0"/>
        <v>0.80746898034426806</v>
      </c>
      <c r="D43" s="11">
        <f t="shared" si="1"/>
        <v>0.16097470402758329</v>
      </c>
    </row>
    <row r="44" spans="1:4" x14ac:dyDescent="0.35">
      <c r="A44">
        <v>2021</v>
      </c>
      <c r="B44" s="73">
        <v>551829.11978187901</v>
      </c>
      <c r="C44" s="11">
        <f>B44/B39*100-100</f>
        <v>10.017947207306307</v>
      </c>
      <c r="D44" s="11">
        <f>(((1+C44%)^(1/5))-1)*100</f>
        <v>1.9278133592164126</v>
      </c>
    </row>
    <row r="45" spans="1:4" x14ac:dyDescent="0.35">
      <c r="C45" s="74" t="s">
        <v>126</v>
      </c>
      <c r="D45" s="72">
        <f>AVERAGE(D13:D42)</f>
        <v>3.6573238158918433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9"/>
  <sheetViews>
    <sheetView showGridLines="0" topLeftCell="A7" zoomScale="70" zoomScaleNormal="70" workbookViewId="0">
      <selection activeCell="C18" sqref="C18"/>
    </sheetView>
  </sheetViews>
  <sheetFormatPr baseColWidth="10" defaultColWidth="11.453125" defaultRowHeight="14.5" x14ac:dyDescent="0.35"/>
  <cols>
    <col min="1" max="1" width="3.54296875" customWidth="1"/>
    <col min="2" max="2" width="24.54296875" customWidth="1"/>
    <col min="3" max="3" width="30.453125" customWidth="1"/>
    <col min="4" max="4" width="19.7265625" customWidth="1"/>
    <col min="19" max="19" width="32.81640625" bestFit="1" customWidth="1"/>
    <col min="20" max="20" width="14.26953125" style="12" customWidth="1"/>
    <col min="21" max="21" width="12.1796875" style="22" customWidth="1"/>
    <col min="22" max="22" width="11.453125" style="22"/>
  </cols>
  <sheetData>
    <row r="2" spans="2:22" ht="18" x14ac:dyDescent="0.35">
      <c r="B2" s="54" t="s">
        <v>0</v>
      </c>
      <c r="C2" s="2"/>
      <c r="D2" s="2"/>
    </row>
    <row r="4" spans="2:22" x14ac:dyDescent="0.35">
      <c r="B4" s="4" t="s">
        <v>15</v>
      </c>
      <c r="C4" s="4" t="s">
        <v>17</v>
      </c>
      <c r="D4" s="7" t="s">
        <v>18</v>
      </c>
      <c r="E4" s="5">
        <v>2010</v>
      </c>
      <c r="F4" s="5">
        <v>2011</v>
      </c>
      <c r="G4" s="5">
        <v>2012</v>
      </c>
      <c r="H4" s="5">
        <v>2013</v>
      </c>
      <c r="I4" s="5">
        <v>2014</v>
      </c>
      <c r="J4" s="5">
        <v>2015</v>
      </c>
      <c r="K4" s="5">
        <v>2016</v>
      </c>
      <c r="L4" s="5">
        <v>2017</v>
      </c>
      <c r="M4" s="5">
        <v>2018</v>
      </c>
      <c r="N4" s="5">
        <v>2019</v>
      </c>
      <c r="O4" s="5">
        <v>2020</v>
      </c>
      <c r="P4" s="5">
        <v>2021</v>
      </c>
      <c r="Q4" s="5" t="s">
        <v>92</v>
      </c>
      <c r="R4" s="5" t="s">
        <v>116</v>
      </c>
      <c r="S4" s="68" t="s">
        <v>127</v>
      </c>
      <c r="T4" s="5" t="s">
        <v>93</v>
      </c>
      <c r="U4" s="23" t="s">
        <v>19</v>
      </c>
      <c r="V4" s="23" t="s">
        <v>94</v>
      </c>
    </row>
    <row r="5" spans="2:22" ht="26.5" customHeight="1" x14ac:dyDescent="0.35">
      <c r="B5" s="79"/>
      <c r="C5" s="39" t="s">
        <v>128</v>
      </c>
      <c r="D5" s="36" t="s">
        <v>129</v>
      </c>
      <c r="E5" s="56">
        <f>E24</f>
        <v>54.233094453874166</v>
      </c>
      <c r="F5" s="56">
        <f t="shared" ref="F5:Q5" si="0">F24</f>
        <v>54.234804634845474</v>
      </c>
      <c r="G5" s="56">
        <f t="shared" si="0"/>
        <v>77.288253699018938</v>
      </c>
      <c r="H5" s="56">
        <f t="shared" si="0"/>
        <v>70.782989941793105</v>
      </c>
      <c r="I5" s="56">
        <f t="shared" si="0"/>
        <v>66.670471640009836</v>
      </c>
      <c r="J5" s="56">
        <f t="shared" si="0"/>
        <v>53.624490427952438</v>
      </c>
      <c r="K5" s="56">
        <f t="shared" si="0"/>
        <v>57.420939866132699</v>
      </c>
      <c r="L5" s="56">
        <f t="shared" si="0"/>
        <v>74.151109072310504</v>
      </c>
      <c r="M5" s="56">
        <f t="shared" si="0"/>
        <v>69.500928293542444</v>
      </c>
      <c r="N5" s="56">
        <f t="shared" si="0"/>
        <v>64.54730903753628</v>
      </c>
      <c r="O5" s="56">
        <f t="shared" si="0"/>
        <v>29.480397561477041</v>
      </c>
      <c r="P5" s="56">
        <f t="shared" si="0"/>
        <v>25.41416076883079</v>
      </c>
      <c r="Q5" s="56">
        <f t="shared" si="0"/>
        <v>-4.0662367926462508</v>
      </c>
      <c r="R5" s="56"/>
      <c r="S5" s="56"/>
      <c r="T5" s="56"/>
      <c r="U5" s="38"/>
      <c r="V5" s="38"/>
    </row>
    <row r="6" spans="2:22" ht="26.5" customHeight="1" x14ac:dyDescent="0.35">
      <c r="B6" s="136" t="s">
        <v>95</v>
      </c>
      <c r="C6" s="40" t="s">
        <v>42</v>
      </c>
      <c r="D6" s="42" t="s">
        <v>44</v>
      </c>
      <c r="E6" s="3">
        <v>6.878443538241652</v>
      </c>
      <c r="F6" s="3">
        <v>6.6385051847325016</v>
      </c>
      <c r="G6" s="3">
        <v>6.1668479655895947</v>
      </c>
      <c r="H6" s="3">
        <v>5.5220118653198647</v>
      </c>
      <c r="I6" s="3">
        <v>5.7891859275132296</v>
      </c>
      <c r="J6" s="3">
        <v>4.7778433975107726</v>
      </c>
      <c r="K6" s="3">
        <v>4.305751822864412</v>
      </c>
      <c r="L6" s="3">
        <v>3.5841720878375005</v>
      </c>
      <c r="M6" s="3">
        <v>3.2144643921257154</v>
      </c>
      <c r="N6" s="3">
        <v>3.1844079970759109</v>
      </c>
      <c r="O6" s="3">
        <v>0.16097470402758329</v>
      </c>
      <c r="P6" s="33">
        <v>1.9278133592164126</v>
      </c>
      <c r="Q6" s="3">
        <f>P6-O6</f>
        <v>1.7668386551888293</v>
      </c>
      <c r="R6" s="3"/>
      <c r="S6" s="3"/>
      <c r="T6" s="29"/>
      <c r="U6" s="25" t="s">
        <v>45</v>
      </c>
      <c r="V6" s="24" t="s">
        <v>96</v>
      </c>
    </row>
    <row r="7" spans="2:22" ht="26.5" customHeight="1" x14ac:dyDescent="0.35">
      <c r="B7" s="137"/>
      <c r="C7" s="40" t="s">
        <v>130</v>
      </c>
      <c r="D7" s="42" t="s">
        <v>44</v>
      </c>
      <c r="E7" s="3" t="s">
        <v>24</v>
      </c>
      <c r="F7" s="3" t="s">
        <v>24</v>
      </c>
      <c r="G7" s="3">
        <v>6.8332251135139632</v>
      </c>
      <c r="H7" s="3">
        <v>6.190021695802761</v>
      </c>
      <c r="I7" s="3">
        <v>6.9146467333217831</v>
      </c>
      <c r="J7" s="3">
        <v>5.4324966528103591</v>
      </c>
      <c r="K7" s="3">
        <v>4.2639119533900649</v>
      </c>
      <c r="L7" s="3">
        <v>3.4549017597298004</v>
      </c>
      <c r="M7" s="3">
        <v>3.1878475182352206</v>
      </c>
      <c r="N7" s="3">
        <v>2.9438519880470082</v>
      </c>
      <c r="O7" s="3">
        <v>-0.25073925557830279</v>
      </c>
      <c r="P7" s="33">
        <v>1.9141947445474816</v>
      </c>
      <c r="Q7" s="3">
        <f t="shared" ref="Q7:Q15" si="1">P7-O7</f>
        <v>2.1649340001257844</v>
      </c>
      <c r="R7" s="3"/>
      <c r="S7" s="3"/>
      <c r="T7" s="29"/>
      <c r="U7" s="25" t="s">
        <v>49</v>
      </c>
      <c r="V7" s="24" t="s">
        <v>97</v>
      </c>
    </row>
    <row r="8" spans="2:22" ht="26.5" customHeight="1" x14ac:dyDescent="0.35">
      <c r="B8" s="137"/>
      <c r="C8" s="40" t="s">
        <v>131</v>
      </c>
      <c r="D8" s="42" t="s">
        <v>44</v>
      </c>
      <c r="E8" s="3" t="s">
        <v>24</v>
      </c>
      <c r="F8" s="3" t="s">
        <v>24</v>
      </c>
      <c r="G8" s="3">
        <v>5.1590574732283567</v>
      </c>
      <c r="H8" s="3">
        <v>4.5801034389844286</v>
      </c>
      <c r="I8" s="3">
        <v>4.3855161000902809</v>
      </c>
      <c r="J8" s="3">
        <v>4.1238731089829228</v>
      </c>
      <c r="K8" s="3">
        <v>4.2555400553414335</v>
      </c>
      <c r="L8" s="3">
        <v>3.7876166507201825</v>
      </c>
      <c r="M8" s="3">
        <v>3.3997386377436767</v>
      </c>
      <c r="N8" s="3">
        <v>3.5911343552476493</v>
      </c>
      <c r="O8" s="3">
        <v>0.66364052938623352</v>
      </c>
      <c r="P8" s="33">
        <v>1.827757546904607</v>
      </c>
      <c r="Q8" s="3">
        <f>P8-O8</f>
        <v>1.1641170175183735</v>
      </c>
      <c r="R8" s="3"/>
      <c r="S8" s="3"/>
      <c r="T8" s="29"/>
      <c r="U8" s="25" t="s">
        <v>49</v>
      </c>
      <c r="V8" s="24" t="s">
        <v>97</v>
      </c>
    </row>
    <row r="9" spans="2:22" ht="26.5" customHeight="1" x14ac:dyDescent="0.35">
      <c r="B9" s="137"/>
      <c r="C9" s="40" t="s">
        <v>98</v>
      </c>
      <c r="D9" s="42" t="s">
        <v>75</v>
      </c>
      <c r="E9" s="3">
        <v>71.333333333333329</v>
      </c>
      <c r="F9" s="3">
        <v>55.416666666666664</v>
      </c>
      <c r="G9" s="3">
        <v>60.916666666666664</v>
      </c>
      <c r="H9" s="3">
        <v>56.833333333333336</v>
      </c>
      <c r="I9" s="3">
        <v>53.708157187326371</v>
      </c>
      <c r="J9" s="3">
        <v>46.89689073547305</v>
      </c>
      <c r="K9" s="3">
        <v>54.940128517768045</v>
      </c>
      <c r="L9" s="3">
        <v>55.624168584303952</v>
      </c>
      <c r="M9" s="3">
        <v>56.822969754536949</v>
      </c>
      <c r="N9" s="3">
        <v>51.954527537028007</v>
      </c>
      <c r="O9" s="3">
        <v>37.260452412222683</v>
      </c>
      <c r="P9" s="31">
        <v>41.329048814879421</v>
      </c>
      <c r="Q9" s="3">
        <f>P9-O9</f>
        <v>4.0685964026567376</v>
      </c>
      <c r="R9" s="3">
        <v>56.5365525527599</v>
      </c>
      <c r="S9" s="3" t="s">
        <v>87</v>
      </c>
      <c r="T9" s="29"/>
      <c r="U9" s="25" t="s">
        <v>45</v>
      </c>
      <c r="V9" s="26" t="s">
        <v>99</v>
      </c>
    </row>
    <row r="10" spans="2:22" ht="26.5" customHeight="1" x14ac:dyDescent="0.35">
      <c r="B10" s="137"/>
      <c r="C10" s="40" t="s">
        <v>100</v>
      </c>
      <c r="D10" s="42" t="s">
        <v>132</v>
      </c>
      <c r="E10" s="3">
        <v>656.10648208015516</v>
      </c>
      <c r="F10" s="3">
        <v>729.54271078046554</v>
      </c>
      <c r="G10" s="3">
        <v>821.92496263028067</v>
      </c>
      <c r="H10" s="3">
        <v>874.91561381317263</v>
      </c>
      <c r="I10" s="3">
        <v>944.15186858857442</v>
      </c>
      <c r="J10" s="3">
        <v>1028.4545386077748</v>
      </c>
      <c r="K10" s="3">
        <v>1126.6771032003542</v>
      </c>
      <c r="L10" s="3">
        <v>1157.9887254670966</v>
      </c>
      <c r="M10" s="3">
        <v>1197.0177040091769</v>
      </c>
      <c r="N10" s="3">
        <v>1247.43914080887</v>
      </c>
      <c r="O10" s="3">
        <v>1136.9902091159274</v>
      </c>
      <c r="P10" s="33">
        <v>1194.8584651548474</v>
      </c>
      <c r="Q10" s="3">
        <f>P10/O10*100-100</f>
        <v>5.0896002071922624</v>
      </c>
      <c r="R10" s="3"/>
      <c r="S10" s="3"/>
      <c r="T10" s="29"/>
      <c r="U10" s="25" t="s">
        <v>49</v>
      </c>
      <c r="V10" s="91" t="s">
        <v>101</v>
      </c>
    </row>
    <row r="11" spans="2:22" ht="26.5" customHeight="1" x14ac:dyDescent="0.35">
      <c r="B11" s="137"/>
      <c r="C11" s="40" t="s">
        <v>47</v>
      </c>
      <c r="D11" s="42" t="s">
        <v>48</v>
      </c>
      <c r="E11" s="3">
        <v>30.017811636601166</v>
      </c>
      <c r="F11" s="3">
        <v>32.519946811063889</v>
      </c>
      <c r="G11" s="3">
        <v>33.15791269029495</v>
      </c>
      <c r="H11" s="3">
        <v>33.493863322819408</v>
      </c>
      <c r="I11" s="3">
        <v>34.540161415884583</v>
      </c>
      <c r="J11" s="3">
        <v>34.145076093543523</v>
      </c>
      <c r="K11" s="3">
        <v>35.194755587454154</v>
      </c>
      <c r="L11" s="3">
        <v>34.291951627891166</v>
      </c>
      <c r="M11" s="3">
        <v>34.260921747319088</v>
      </c>
      <c r="N11" s="3">
        <v>33.59645377192389</v>
      </c>
      <c r="O11" s="3">
        <v>31.581858950866064</v>
      </c>
      <c r="P11" s="33">
        <v>28.595077555710098</v>
      </c>
      <c r="Q11" s="3">
        <f>P11-O11</f>
        <v>-2.9867813951559654</v>
      </c>
      <c r="R11" s="3"/>
      <c r="S11" s="3"/>
      <c r="T11" s="30"/>
      <c r="U11" s="25" t="s">
        <v>49</v>
      </c>
      <c r="V11" s="26" t="s">
        <v>102</v>
      </c>
    </row>
    <row r="12" spans="2:22" ht="26.5" customHeight="1" x14ac:dyDescent="0.35">
      <c r="B12" s="138"/>
      <c r="C12" s="40" t="s">
        <v>133</v>
      </c>
      <c r="D12" s="42" t="s">
        <v>119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3"/>
      <c r="Q12" s="3"/>
      <c r="R12" s="3"/>
      <c r="S12" s="3"/>
      <c r="T12" s="30"/>
      <c r="U12" s="25"/>
      <c r="V12" s="26"/>
    </row>
    <row r="13" spans="2:22" ht="26.5" customHeight="1" x14ac:dyDescent="0.35">
      <c r="B13" s="80" t="s">
        <v>103</v>
      </c>
      <c r="C13" s="40" t="s">
        <v>7</v>
      </c>
      <c r="D13" s="42" t="s">
        <v>104</v>
      </c>
      <c r="E13" s="3">
        <v>67.599999999999994</v>
      </c>
      <c r="F13" s="3">
        <v>68.599999999999994</v>
      </c>
      <c r="G13" s="3">
        <v>68.7</v>
      </c>
      <c r="H13" s="3">
        <v>68.2</v>
      </c>
      <c r="I13" s="3">
        <v>67.400000000000006</v>
      </c>
      <c r="J13" s="3">
        <v>67.7</v>
      </c>
      <c r="K13" s="3">
        <v>67.400000000000006</v>
      </c>
      <c r="L13" s="3">
        <v>68.900000000000006</v>
      </c>
      <c r="M13" s="3">
        <v>68.7</v>
      </c>
      <c r="N13" s="3">
        <v>67.8</v>
      </c>
      <c r="O13" s="3">
        <v>67.900000000000006</v>
      </c>
      <c r="P13" s="31">
        <v>67.7</v>
      </c>
      <c r="Q13" s="3">
        <f>P13-O13</f>
        <v>-0.20000000000000284</v>
      </c>
      <c r="R13" s="3">
        <v>65.900000000000006</v>
      </c>
      <c r="S13" s="3" t="s">
        <v>134</v>
      </c>
      <c r="T13" s="32"/>
      <c r="U13" s="25" t="s">
        <v>105</v>
      </c>
      <c r="V13" s="24" t="s">
        <v>106</v>
      </c>
    </row>
    <row r="14" spans="2:22" ht="26.5" customHeight="1" x14ac:dyDescent="0.35">
      <c r="B14" s="135" t="s">
        <v>107</v>
      </c>
      <c r="C14" s="40" t="s">
        <v>108</v>
      </c>
      <c r="D14" s="42" t="s">
        <v>55</v>
      </c>
      <c r="E14" s="3">
        <v>2.0764442319031202</v>
      </c>
      <c r="F14" s="3">
        <v>4.7384208424835199</v>
      </c>
      <c r="G14" s="3">
        <v>2.6493688807159002</v>
      </c>
      <c r="H14" s="3">
        <v>2.8596811557922499</v>
      </c>
      <c r="I14" s="3">
        <v>3.2240611887172999</v>
      </c>
      <c r="J14" s="3">
        <v>4.3979285416694003</v>
      </c>
      <c r="K14" s="3">
        <v>3.2348819503701201</v>
      </c>
      <c r="L14" s="3">
        <v>1.3648558837145399</v>
      </c>
      <c r="M14" s="3">
        <v>2.1925231538681902</v>
      </c>
      <c r="N14" s="3">
        <v>1.90009157916242</v>
      </c>
      <c r="O14" s="3">
        <v>1.9732322294607501</v>
      </c>
      <c r="P14" s="33">
        <v>6.4303871634072296</v>
      </c>
      <c r="Q14" s="3">
        <f t="shared" si="1"/>
        <v>4.4571549339464793</v>
      </c>
      <c r="R14" s="3"/>
      <c r="S14" s="3"/>
      <c r="T14" s="30"/>
      <c r="U14" s="25" t="s">
        <v>45</v>
      </c>
      <c r="V14" s="26" t="s">
        <v>109</v>
      </c>
    </row>
    <row r="15" spans="2:22" ht="26.5" customHeight="1" x14ac:dyDescent="0.35">
      <c r="B15" s="135"/>
      <c r="C15" s="49" t="s">
        <v>82</v>
      </c>
      <c r="D15" s="42" t="s">
        <v>81</v>
      </c>
      <c r="E15" s="3">
        <v>23.8027565211063</v>
      </c>
      <c r="F15" s="3">
        <v>21.611401597662798</v>
      </c>
      <c r="G15" s="3">
        <v>19.875581324790002</v>
      </c>
      <c r="H15" s="3">
        <v>19.1955168804922</v>
      </c>
      <c r="I15" s="3">
        <v>19.869186077031099</v>
      </c>
      <c r="J15" s="3">
        <v>23.256266030345099</v>
      </c>
      <c r="K15" s="3">
        <v>23.743826842399699</v>
      </c>
      <c r="L15" s="3">
        <v>24.736716589765201</v>
      </c>
      <c r="M15" s="3">
        <v>25.5919748496399</v>
      </c>
      <c r="N15" s="3">
        <v>26.608279872790099</v>
      </c>
      <c r="O15" s="3">
        <v>34.636906859547103</v>
      </c>
      <c r="P15" s="33">
        <v>35.947971341043001</v>
      </c>
      <c r="Q15" s="3">
        <f t="shared" si="1"/>
        <v>1.3110644814958974</v>
      </c>
      <c r="R15" s="3"/>
      <c r="S15" s="3"/>
      <c r="T15" s="32"/>
      <c r="U15" s="25" t="s">
        <v>45</v>
      </c>
      <c r="V15" s="26" t="s">
        <v>110</v>
      </c>
    </row>
    <row r="16" spans="2:22" ht="26.5" customHeight="1" x14ac:dyDescent="0.35">
      <c r="B16" s="135"/>
      <c r="C16" s="40" t="s">
        <v>111</v>
      </c>
      <c r="D16" s="42" t="s">
        <v>112</v>
      </c>
      <c r="E16" s="3">
        <v>171.61685823754789</v>
      </c>
      <c r="F16" s="3">
        <v>191.27307692307693</v>
      </c>
      <c r="G16" s="3">
        <v>157.01149425287358</v>
      </c>
      <c r="H16" s="3">
        <v>158.62835249042146</v>
      </c>
      <c r="I16" s="3">
        <v>162.04214559386972</v>
      </c>
      <c r="J16" s="3">
        <v>200.86973180076629</v>
      </c>
      <c r="K16" s="3">
        <v>199.28076923076924</v>
      </c>
      <c r="L16" s="3">
        <v>145.04615384615386</v>
      </c>
      <c r="M16" s="3">
        <v>147.58237547892719</v>
      </c>
      <c r="N16" s="3">
        <v>128.68199233716476</v>
      </c>
      <c r="O16" s="3">
        <v>172.66153846153847</v>
      </c>
      <c r="P16" s="31">
        <v>165.727969348659</v>
      </c>
      <c r="Q16" s="3">
        <f>P16-O16</f>
        <v>-6.9335691128794679</v>
      </c>
      <c r="R16" s="3">
        <v>288.60169288439221</v>
      </c>
      <c r="S16" s="3" t="s">
        <v>135</v>
      </c>
      <c r="T16" s="29"/>
      <c r="U16" s="25" t="s">
        <v>45</v>
      </c>
      <c r="V16" s="26" t="s">
        <v>113</v>
      </c>
    </row>
    <row r="17" spans="1:22" ht="26.5" customHeight="1" x14ac:dyDescent="0.35">
      <c r="B17" s="135"/>
      <c r="C17" s="40" t="s">
        <v>114</v>
      </c>
      <c r="D17" s="42" t="s">
        <v>57</v>
      </c>
      <c r="E17" s="3">
        <v>7.706288443262781</v>
      </c>
      <c r="F17" s="3">
        <v>7.1715381328523966</v>
      </c>
      <c r="G17" s="3">
        <v>6.4672332524315523</v>
      </c>
      <c r="H17" s="3">
        <v>6.6486219480026056</v>
      </c>
      <c r="I17" s="3">
        <v>6.3647936571990806</v>
      </c>
      <c r="J17" s="3">
        <v>6.8844520533615032</v>
      </c>
      <c r="K17" s="3">
        <v>7.793599975786333</v>
      </c>
      <c r="L17" s="3">
        <v>8.9464702618187815</v>
      </c>
      <c r="M17" s="3">
        <v>9.3286762242699321</v>
      </c>
      <c r="N17" s="3">
        <v>9.3733613785410625</v>
      </c>
      <c r="O17" s="3">
        <v>12.037679586915138</v>
      </c>
      <c r="P17" s="31">
        <v>9.221444799595119</v>
      </c>
      <c r="Q17" s="3">
        <f t="shared" ref="Q17" si="2">P17-O17</f>
        <v>-2.8162347873200186</v>
      </c>
      <c r="R17" s="3"/>
      <c r="S17" s="3"/>
      <c r="T17" s="29"/>
      <c r="U17" s="25" t="s">
        <v>45</v>
      </c>
      <c r="V17" s="26" t="s">
        <v>115</v>
      </c>
    </row>
    <row r="18" spans="1:22" ht="26.5" customHeight="1" x14ac:dyDescent="0.35">
      <c r="B18" s="135"/>
      <c r="C18" s="40" t="s">
        <v>136</v>
      </c>
      <c r="D18" s="42" t="s">
        <v>81</v>
      </c>
      <c r="E18" s="3">
        <v>7.706288443262781</v>
      </c>
      <c r="F18" s="3">
        <v>7.1715381328523966</v>
      </c>
      <c r="G18" s="3">
        <v>6.4672332524315523</v>
      </c>
      <c r="H18" s="3">
        <v>6.6486219480026056</v>
      </c>
      <c r="I18" s="3">
        <v>6.3647936571990806</v>
      </c>
      <c r="J18" s="3">
        <v>6.8844520533615032</v>
      </c>
      <c r="K18" s="3">
        <v>7.793599975786333</v>
      </c>
      <c r="L18" s="3">
        <v>8.9464702618187815</v>
      </c>
      <c r="M18" s="3">
        <v>9.3286762242699321</v>
      </c>
      <c r="N18" s="3">
        <v>9.3733613785410625</v>
      </c>
      <c r="O18" s="3">
        <v>12.037679586915138</v>
      </c>
      <c r="P18" s="31">
        <v>9.221444799595119</v>
      </c>
      <c r="Q18" s="3">
        <f t="shared" ref="Q18" si="3">P18-O18</f>
        <v>-2.8162347873200186</v>
      </c>
      <c r="R18" s="3"/>
      <c r="S18" s="3"/>
      <c r="T18" s="29"/>
      <c r="U18" s="25" t="s">
        <v>45</v>
      </c>
      <c r="V18" s="26" t="s">
        <v>115</v>
      </c>
    </row>
    <row r="19" spans="1:22" x14ac:dyDescent="0.35">
      <c r="C19" s="27"/>
    </row>
    <row r="21" spans="1:22" ht="18" x14ac:dyDescent="0.35">
      <c r="B21" s="57" t="s">
        <v>137</v>
      </c>
      <c r="C21" s="58"/>
      <c r="D21" s="58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</row>
    <row r="23" spans="1:22" x14ac:dyDescent="0.35">
      <c r="B23" s="4" t="s">
        <v>15</v>
      </c>
      <c r="C23" s="4" t="s">
        <v>17</v>
      </c>
      <c r="D23" s="7" t="s">
        <v>18</v>
      </c>
      <c r="E23" s="5">
        <v>2010</v>
      </c>
      <c r="F23" s="5">
        <v>2011</v>
      </c>
      <c r="G23" s="5">
        <v>2012</v>
      </c>
      <c r="H23" s="5">
        <v>2013</v>
      </c>
      <c r="I23" s="5">
        <v>2014</v>
      </c>
      <c r="J23" s="5">
        <v>2015</v>
      </c>
      <c r="K23" s="5">
        <v>2016</v>
      </c>
      <c r="L23" s="5">
        <v>2017</v>
      </c>
      <c r="M23" s="5">
        <v>2018</v>
      </c>
      <c r="N23" s="5">
        <v>2019</v>
      </c>
      <c r="O23" s="5">
        <v>2020</v>
      </c>
      <c r="P23" s="5">
        <v>2021</v>
      </c>
      <c r="Q23" s="5" t="s">
        <v>92</v>
      </c>
      <c r="R23" s="65"/>
      <c r="S23" s="65"/>
      <c r="T23"/>
      <c r="U23"/>
      <c r="V23"/>
    </row>
    <row r="24" spans="1:22" ht="22" customHeight="1" x14ac:dyDescent="0.35">
      <c r="B24" s="79"/>
      <c r="C24" s="39" t="s">
        <v>128</v>
      </c>
      <c r="D24" s="36" t="s">
        <v>51</v>
      </c>
      <c r="E24" s="56">
        <f t="shared" ref="E24:P24" si="4">AVERAGE(E25:E34)</f>
        <v>54.233094453874166</v>
      </c>
      <c r="F24" s="56">
        <f t="shared" si="4"/>
        <v>54.234804634845474</v>
      </c>
      <c r="G24" s="56">
        <f t="shared" si="4"/>
        <v>77.288253699018938</v>
      </c>
      <c r="H24" s="56">
        <f t="shared" si="4"/>
        <v>70.782989941793105</v>
      </c>
      <c r="I24" s="56">
        <f t="shared" si="4"/>
        <v>66.670471640009836</v>
      </c>
      <c r="J24" s="56">
        <f t="shared" si="4"/>
        <v>53.624490427952438</v>
      </c>
      <c r="K24" s="56">
        <f t="shared" si="4"/>
        <v>57.420939866132699</v>
      </c>
      <c r="L24" s="56">
        <f t="shared" si="4"/>
        <v>74.151109072310504</v>
      </c>
      <c r="M24" s="56">
        <f t="shared" si="4"/>
        <v>69.500928293542444</v>
      </c>
      <c r="N24" s="56">
        <f t="shared" si="4"/>
        <v>64.54730903753628</v>
      </c>
      <c r="O24" s="56">
        <f t="shared" si="4"/>
        <v>29.480397561477041</v>
      </c>
      <c r="P24" s="56">
        <f t="shared" si="4"/>
        <v>25.41416076883079</v>
      </c>
      <c r="Q24" s="56">
        <f>P24-O24</f>
        <v>-4.0662367926462508</v>
      </c>
      <c r="R24" s="66"/>
      <c r="S24" s="66"/>
      <c r="T24"/>
      <c r="U24"/>
      <c r="V24"/>
    </row>
    <row r="25" spans="1:22" ht="23.5" customHeight="1" x14ac:dyDescent="0.35">
      <c r="B25" s="135" t="s">
        <v>95</v>
      </c>
      <c r="C25" s="40" t="s">
        <v>42</v>
      </c>
      <c r="D25" s="42" t="s">
        <v>44</v>
      </c>
      <c r="E25" s="3">
        <f t="shared" ref="E25:P25" si="5">IFERROR((E6-MIN($E6:$P6))/(MAX($E6:$P6)-MIN($E6:$P6))*100,"")</f>
        <v>100</v>
      </c>
      <c r="F25" s="3">
        <f t="shared" si="5"/>
        <v>96.42814340593479</v>
      </c>
      <c r="G25" s="3">
        <f t="shared" si="5"/>
        <v>89.406790113745089</v>
      </c>
      <c r="H25" s="3">
        <f t="shared" si="5"/>
        <v>79.807399090367539</v>
      </c>
      <c r="I25" s="3">
        <f t="shared" si="5"/>
        <v>83.784701684353053</v>
      </c>
      <c r="J25" s="3">
        <f t="shared" si="5"/>
        <v>68.729290859796805</v>
      </c>
      <c r="K25" s="3">
        <f t="shared" si="5"/>
        <v>61.701471508527803</v>
      </c>
      <c r="L25" s="3">
        <f t="shared" si="5"/>
        <v>50.959631794263835</v>
      </c>
      <c r="M25" s="3">
        <f t="shared" si="5"/>
        <v>45.455956156369496</v>
      </c>
      <c r="N25" s="3">
        <f t="shared" si="5"/>
        <v>45.008519840822807</v>
      </c>
      <c r="O25" s="3">
        <f t="shared" si="5"/>
        <v>0</v>
      </c>
      <c r="P25" s="3">
        <f t="shared" si="5"/>
        <v>26.302148901529605</v>
      </c>
      <c r="Q25" s="3">
        <f>P25-O25</f>
        <v>26.302148901529605</v>
      </c>
      <c r="R25" s="67"/>
      <c r="S25" s="67"/>
      <c r="T25" t="s">
        <v>138</v>
      </c>
      <c r="U25"/>
      <c r="V25"/>
    </row>
    <row r="26" spans="1:22" ht="23.5" customHeight="1" x14ac:dyDescent="0.35">
      <c r="A26" s="64" t="s">
        <v>139</v>
      </c>
      <c r="B26" s="135"/>
      <c r="C26" s="40" t="s">
        <v>140</v>
      </c>
      <c r="D26" s="42" t="s">
        <v>44</v>
      </c>
      <c r="E26" s="3" t="str">
        <f t="shared" ref="E26:P26" si="6">IFERROR((E7-MIN($E7:$P7))/(MAX($E7:$P7)-MIN($E7:$P7))*100,"")</f>
        <v/>
      </c>
      <c r="F26" s="3" t="str">
        <f t="shared" si="6"/>
        <v/>
      </c>
      <c r="G26" s="3">
        <f t="shared" si="6"/>
        <v>98.86368131550833</v>
      </c>
      <c r="H26" s="3">
        <f t="shared" si="6"/>
        <v>89.887145805661547</v>
      </c>
      <c r="I26" s="3">
        <f t="shared" si="6"/>
        <v>100</v>
      </c>
      <c r="J26" s="3">
        <f t="shared" si="6"/>
        <v>79.315139717421701</v>
      </c>
      <c r="K26" s="3">
        <f t="shared" si="6"/>
        <v>63.006392341766691</v>
      </c>
      <c r="L26" s="3">
        <f t="shared" si="6"/>
        <v>51.715860402335892</v>
      </c>
      <c r="M26" s="3">
        <f t="shared" si="6"/>
        <v>47.988856136155746</v>
      </c>
      <c r="N26" s="3">
        <f t="shared" si="6"/>
        <v>44.583658836719458</v>
      </c>
      <c r="O26" s="3">
        <f t="shared" si="6"/>
        <v>0</v>
      </c>
      <c r="P26" s="3">
        <f t="shared" si="6"/>
        <v>30.213780576224199</v>
      </c>
      <c r="Q26" s="3">
        <f t="shared" ref="Q26:Q33" si="7">P26-O26</f>
        <v>30.213780576224199</v>
      </c>
      <c r="R26" s="67"/>
      <c r="S26" s="67"/>
      <c r="T26"/>
      <c r="U26"/>
      <c r="V26"/>
    </row>
    <row r="27" spans="1:22" ht="27" customHeight="1" x14ac:dyDescent="0.35">
      <c r="B27" s="135"/>
      <c r="C27" s="40" t="s">
        <v>141</v>
      </c>
      <c r="D27" s="42" t="s">
        <v>44</v>
      </c>
      <c r="E27" s="3" t="str">
        <f t="shared" ref="E27:P27" si="8">IFERROR((E8-MIN($E8:$P8))/(MAX($E8:$P8)-MIN($E8:$P8))*100,"")</f>
        <v/>
      </c>
      <c r="F27" s="3" t="str">
        <f t="shared" si="8"/>
        <v/>
      </c>
      <c r="G27" s="3">
        <f t="shared" si="8"/>
        <v>100</v>
      </c>
      <c r="H27" s="3">
        <f t="shared" si="8"/>
        <v>87.121238330584973</v>
      </c>
      <c r="I27" s="3">
        <f t="shared" si="8"/>
        <v>82.792666780382135</v>
      </c>
      <c r="J27" s="3">
        <f t="shared" si="8"/>
        <v>76.972450449486303</v>
      </c>
      <c r="K27" s="3">
        <f t="shared" si="8"/>
        <v>79.901365564665312</v>
      </c>
      <c r="L27" s="3">
        <f t="shared" si="8"/>
        <v>69.492466669041889</v>
      </c>
      <c r="M27" s="3">
        <f t="shared" si="8"/>
        <v>60.864167718755958</v>
      </c>
      <c r="N27" s="3">
        <f t="shared" si="8"/>
        <v>65.121742041559287</v>
      </c>
      <c r="O27" s="3">
        <f t="shared" si="8"/>
        <v>0</v>
      </c>
      <c r="P27" s="3">
        <f t="shared" si="8"/>
        <v>25.895640650485046</v>
      </c>
      <c r="Q27" s="3">
        <f t="shared" si="7"/>
        <v>25.895640650485046</v>
      </c>
      <c r="R27" s="67"/>
      <c r="S27" s="67"/>
      <c r="T27" t="s">
        <v>142</v>
      </c>
      <c r="U27"/>
      <c r="V27"/>
    </row>
    <row r="28" spans="1:22" ht="23.5" customHeight="1" x14ac:dyDescent="0.35">
      <c r="B28" s="135"/>
      <c r="C28" s="40" t="s">
        <v>98</v>
      </c>
      <c r="D28" s="42" t="s">
        <v>119</v>
      </c>
      <c r="E28" s="3">
        <f t="shared" ref="E28:P28" si="9">IFERROR((E9-MIN($E9:$P9))/(MAX($E9:$P9)-MIN($E9:$P9))*100,"")</f>
        <v>100</v>
      </c>
      <c r="F28" s="3">
        <f t="shared" si="9"/>
        <v>53.286407734295452</v>
      </c>
      <c r="G28" s="3">
        <f t="shared" si="9"/>
        <v>69.428277313020587</v>
      </c>
      <c r="H28" s="3">
        <f t="shared" si="9"/>
        <v>57.444162019724665</v>
      </c>
      <c r="I28" s="3">
        <f t="shared" si="9"/>
        <v>48.272128245290617</v>
      </c>
      <c r="J28" s="3">
        <f t="shared" si="9"/>
        <v>28.281841930424754</v>
      </c>
      <c r="K28" s="3">
        <f t="shared" si="9"/>
        <v>51.887822889057524</v>
      </c>
      <c r="L28" s="3">
        <f t="shared" si="9"/>
        <v>53.895402078265711</v>
      </c>
      <c r="M28" s="3">
        <f t="shared" si="9"/>
        <v>57.413746103851913</v>
      </c>
      <c r="N28" s="3">
        <f t="shared" si="9"/>
        <v>43.125426226290323</v>
      </c>
      <c r="O28" s="3">
        <f t="shared" si="9"/>
        <v>0</v>
      </c>
      <c r="P28" s="3">
        <f t="shared" si="9"/>
        <v>11.94086409093733</v>
      </c>
      <c r="Q28" s="3">
        <f t="shared" si="7"/>
        <v>11.94086409093733</v>
      </c>
      <c r="R28" s="67"/>
      <c r="S28" s="67"/>
      <c r="T28" s="64" t="s">
        <v>143</v>
      </c>
      <c r="U28"/>
      <c r="V28"/>
    </row>
    <row r="29" spans="1:22" ht="23.5" customHeight="1" x14ac:dyDescent="0.35">
      <c r="B29" s="135"/>
      <c r="C29" s="40" t="s">
        <v>100</v>
      </c>
      <c r="D29" s="42" t="s">
        <v>132</v>
      </c>
      <c r="E29" s="3">
        <f t="shared" ref="E29:P29" si="10">IFERROR((E10-MIN($E10:$P10))/(MAX($E10:$P10)-MIN($E10:$P10))*100,"")</f>
        <v>0</v>
      </c>
      <c r="F29" s="3">
        <f t="shared" si="10"/>
        <v>12.418767611819096</v>
      </c>
      <c r="G29" s="3">
        <f t="shared" si="10"/>
        <v>28.041488678574396</v>
      </c>
      <c r="H29" s="3">
        <f t="shared" si="10"/>
        <v>37.00271387063713</v>
      </c>
      <c r="I29" s="3">
        <f t="shared" si="10"/>
        <v>48.711225780709938</v>
      </c>
      <c r="J29" s="3">
        <f t="shared" si="10"/>
        <v>62.96761239741393</v>
      </c>
      <c r="K29" s="3">
        <f t="shared" si="10"/>
        <v>79.5779861257557</v>
      </c>
      <c r="L29" s="3">
        <f t="shared" si="10"/>
        <v>84.873080486695997</v>
      </c>
      <c r="M29" s="3">
        <f t="shared" si="10"/>
        <v>91.47325349692467</v>
      </c>
      <c r="N29" s="3">
        <f t="shared" si="10"/>
        <v>100</v>
      </c>
      <c r="O29" s="3">
        <f t="shared" si="10"/>
        <v>81.322030829416263</v>
      </c>
      <c r="P29" s="3">
        <f t="shared" si="10"/>
        <v>91.108105585261626</v>
      </c>
      <c r="Q29" s="3">
        <f t="shared" si="7"/>
        <v>9.7860747558453625</v>
      </c>
      <c r="R29" s="67"/>
      <c r="S29" s="67"/>
      <c r="T29" s="64" t="s">
        <v>144</v>
      </c>
      <c r="U29"/>
      <c r="V29"/>
    </row>
    <row r="30" spans="1:22" ht="23.5" customHeight="1" x14ac:dyDescent="0.35">
      <c r="B30" s="135"/>
      <c r="C30" s="40" t="s">
        <v>47</v>
      </c>
      <c r="D30" s="42" t="s">
        <v>48</v>
      </c>
      <c r="E30" s="3">
        <f t="shared" ref="E30:P30" si="11">IFERROR((E11-MIN($E11:$P11))/(MAX($E11:$P11)-MIN($E11:$P11))*100,"")</f>
        <v>21.557628630484739</v>
      </c>
      <c r="F30" s="3">
        <f t="shared" si="11"/>
        <v>59.470617149433735</v>
      </c>
      <c r="G30" s="3">
        <f t="shared" si="11"/>
        <v>69.137238402205199</v>
      </c>
      <c r="H30" s="3">
        <f t="shared" si="11"/>
        <v>74.227647826855247</v>
      </c>
      <c r="I30" s="3">
        <f t="shared" si="11"/>
        <v>90.081422632725236</v>
      </c>
      <c r="J30" s="3">
        <f t="shared" si="11"/>
        <v>84.094989348544956</v>
      </c>
      <c r="K30" s="3">
        <f t="shared" si="11"/>
        <v>100</v>
      </c>
      <c r="L30" s="3">
        <f t="shared" si="11"/>
        <v>86.320484799098466</v>
      </c>
      <c r="M30" s="3">
        <f t="shared" si="11"/>
        <v>85.850312156996438</v>
      </c>
      <c r="N30" s="3">
        <f t="shared" si="11"/>
        <v>75.782124403000765</v>
      </c>
      <c r="O30" s="3">
        <f t="shared" si="11"/>
        <v>45.256471312535645</v>
      </c>
      <c r="P30" s="3">
        <f t="shared" si="11"/>
        <v>0</v>
      </c>
      <c r="Q30" s="3">
        <f t="shared" si="7"/>
        <v>-45.256471312535645</v>
      </c>
      <c r="R30" s="67"/>
      <c r="S30" s="67"/>
      <c r="T30" s="64" t="s">
        <v>145</v>
      </c>
      <c r="U30"/>
      <c r="V30"/>
    </row>
    <row r="31" spans="1:22" ht="23.5" customHeight="1" x14ac:dyDescent="0.35">
      <c r="B31" s="80" t="s">
        <v>103</v>
      </c>
      <c r="C31" s="40" t="s">
        <v>7</v>
      </c>
      <c r="D31" s="42" t="s">
        <v>104</v>
      </c>
      <c r="E31" s="3">
        <f t="shared" ref="E31:P31" si="12">IFERROR((E13-MIN($E13:$P13))/(MAX($E13:$P13)-MIN($E13:$P13))*100,"")</f>
        <v>13.333333333332575</v>
      </c>
      <c r="F31" s="3">
        <f t="shared" si="12"/>
        <v>79.999999999999233</v>
      </c>
      <c r="G31" s="3">
        <f t="shared" si="12"/>
        <v>86.666666666666487</v>
      </c>
      <c r="H31" s="3">
        <f t="shared" si="12"/>
        <v>53.333333333333144</v>
      </c>
      <c r="I31" s="3">
        <f t="shared" si="12"/>
        <v>0</v>
      </c>
      <c r="J31" s="3">
        <f t="shared" si="12"/>
        <v>19.999999999999808</v>
      </c>
      <c r="K31" s="3">
        <f t="shared" si="12"/>
        <v>0</v>
      </c>
      <c r="L31" s="3">
        <f t="shared" si="12"/>
        <v>100</v>
      </c>
      <c r="M31" s="3">
        <f t="shared" si="12"/>
        <v>86.666666666666487</v>
      </c>
      <c r="N31" s="3">
        <f t="shared" si="12"/>
        <v>26.666666666666099</v>
      </c>
      <c r="O31" s="3">
        <f t="shared" si="12"/>
        <v>33.333333333333329</v>
      </c>
      <c r="P31" s="3">
        <f t="shared" si="12"/>
        <v>19.999999999999808</v>
      </c>
      <c r="Q31" s="3">
        <f t="shared" si="7"/>
        <v>-13.33333333333352</v>
      </c>
      <c r="R31" s="67"/>
      <c r="S31" s="67"/>
      <c r="T31" s="64" t="s">
        <v>145</v>
      </c>
      <c r="U31"/>
      <c r="V31"/>
    </row>
    <row r="32" spans="1:22" ht="23.5" customHeight="1" x14ac:dyDescent="0.35">
      <c r="B32" s="135" t="s">
        <v>107</v>
      </c>
      <c r="C32" s="40" t="s">
        <v>108</v>
      </c>
      <c r="D32" s="42" t="s">
        <v>55</v>
      </c>
      <c r="E32" s="3">
        <f t="shared" ref="E32:P32" si="13">IFERROR((1-(E14-MIN($E14:$P14))/(MAX($E14:$P14)-MIN($E14:$P14)))*100,"")</f>
        <v>85.952345195433281</v>
      </c>
      <c r="F32" s="3">
        <f t="shared" si="13"/>
        <v>33.401557062862643</v>
      </c>
      <c r="G32" s="3">
        <f t="shared" si="13"/>
        <v>74.642087353188984</v>
      </c>
      <c r="H32" s="3">
        <f t="shared" si="13"/>
        <v>70.490256805434299</v>
      </c>
      <c r="I32" s="3">
        <f t="shared" si="13"/>
        <v>63.296933680852675</v>
      </c>
      <c r="J32" s="3">
        <f t="shared" si="13"/>
        <v>40.123306115703869</v>
      </c>
      <c r="K32" s="3">
        <f t="shared" si="13"/>
        <v>63.083318147646914</v>
      </c>
      <c r="L32" s="3">
        <f t="shared" si="13"/>
        <v>100</v>
      </c>
      <c r="M32" s="3">
        <f t="shared" si="13"/>
        <v>83.660800329637638</v>
      </c>
      <c r="N32" s="3">
        <f t="shared" si="13"/>
        <v>89.433769808241095</v>
      </c>
      <c r="O32" s="3">
        <f t="shared" si="13"/>
        <v>87.989880781407024</v>
      </c>
      <c r="P32" s="3">
        <f t="shared" si="13"/>
        <v>0</v>
      </c>
      <c r="Q32" s="3">
        <f t="shared" si="7"/>
        <v>-87.989880781407024</v>
      </c>
      <c r="R32" s="67"/>
      <c r="S32" s="67"/>
      <c r="T32" t="s">
        <v>146</v>
      </c>
      <c r="U32"/>
      <c r="V32"/>
    </row>
    <row r="33" spans="2:22" ht="23.5" customHeight="1" x14ac:dyDescent="0.35">
      <c r="B33" s="135"/>
      <c r="C33" s="49" t="s">
        <v>82</v>
      </c>
      <c r="D33" s="42" t="s">
        <v>81</v>
      </c>
      <c r="E33" s="3">
        <f t="shared" ref="E33:P33" si="14">IFERROR((1-(E15-MIN($E15:$P15))/(MAX($E15:$P15)-MIN($E15:$P15)))*100,"")</f>
        <v>72.498121684417228</v>
      </c>
      <c r="F33" s="3">
        <f t="shared" si="14"/>
        <v>85.578920850914116</v>
      </c>
      <c r="G33" s="3">
        <f t="shared" si="14"/>
        <v>95.940508622785757</v>
      </c>
      <c r="H33" s="3">
        <f t="shared" si="14"/>
        <v>100</v>
      </c>
      <c r="I33" s="3">
        <f t="shared" si="14"/>
        <v>95.978683612450482</v>
      </c>
      <c r="J33" s="3">
        <f t="shared" si="14"/>
        <v>75.760273460732108</v>
      </c>
      <c r="K33" s="3">
        <f t="shared" si="14"/>
        <v>72.849889115544229</v>
      </c>
      <c r="L33" s="3">
        <f t="shared" si="14"/>
        <v>66.923057619278481</v>
      </c>
      <c r="M33" s="3">
        <f t="shared" si="14"/>
        <v>61.81778625806578</v>
      </c>
      <c r="N33" s="3">
        <f t="shared" si="14"/>
        <v>55.751182552063014</v>
      </c>
      <c r="O33" s="3">
        <f t="shared" si="14"/>
        <v>7.8261038379971897</v>
      </c>
      <c r="P33" s="3">
        <f t="shared" si="14"/>
        <v>0</v>
      </c>
      <c r="Q33" s="3">
        <f t="shared" si="7"/>
        <v>-7.8261038379971897</v>
      </c>
      <c r="R33" s="67"/>
      <c r="S33" s="67"/>
      <c r="T33" t="s">
        <v>147</v>
      </c>
      <c r="U33"/>
      <c r="V33"/>
    </row>
    <row r="34" spans="2:22" ht="23.5" customHeight="1" x14ac:dyDescent="0.35">
      <c r="B34" s="135"/>
      <c r="C34" s="40" t="s">
        <v>148</v>
      </c>
      <c r="D34" s="42" t="s">
        <v>112</v>
      </c>
      <c r="E34" s="3">
        <f t="shared" ref="E34:P34" si="15">IFERROR((1-(E16-MIN($E16:$P16))/(MAX($E16:$P16)-MIN($E16:$P16)))*100,"")</f>
        <v>40.52332678732553</v>
      </c>
      <c r="F34" s="3">
        <f t="shared" si="15"/>
        <v>13.294023263504718</v>
      </c>
      <c r="G34" s="3">
        <f t="shared" si="15"/>
        <v>60.755798524494445</v>
      </c>
      <c r="H34" s="3">
        <f t="shared" si="15"/>
        <v>58.516002335332516</v>
      </c>
      <c r="I34" s="3">
        <f t="shared" si="15"/>
        <v>53.786953983334243</v>
      </c>
      <c r="J34" s="3">
        <f t="shared" si="15"/>
        <v>0</v>
      </c>
      <c r="K34" s="3">
        <f t="shared" si="15"/>
        <v>2.201152968362774</v>
      </c>
      <c r="L34" s="3">
        <f t="shared" si="15"/>
        <v>77.331106874124757</v>
      </c>
      <c r="M34" s="3">
        <f t="shared" si="15"/>
        <v>73.817737912000453</v>
      </c>
      <c r="N34" s="3">
        <f t="shared" si="15"/>
        <v>100</v>
      </c>
      <c r="O34" s="3">
        <f t="shared" si="15"/>
        <v>39.076155520081002</v>
      </c>
      <c r="P34" s="3">
        <f t="shared" si="15"/>
        <v>48.681067883870291</v>
      </c>
      <c r="Q34" s="3">
        <f>P34-O34</f>
        <v>9.604912363789289</v>
      </c>
      <c r="R34" s="67"/>
      <c r="S34" s="67"/>
      <c r="T34" s="64" t="s">
        <v>149</v>
      </c>
      <c r="U34"/>
      <c r="V34"/>
    </row>
    <row r="35" spans="2:22" x14ac:dyDescent="0.35">
      <c r="C35" s="61"/>
    </row>
    <row r="36" spans="2:22" x14ac:dyDescent="0.35">
      <c r="C36" s="61" t="s">
        <v>150</v>
      </c>
    </row>
    <row r="37" spans="2:22" ht="34.5" x14ac:dyDescent="0.35">
      <c r="C37" s="63" t="s">
        <v>151</v>
      </c>
    </row>
    <row r="38" spans="2:22" ht="57.5" x14ac:dyDescent="0.35">
      <c r="C38" s="61" t="s">
        <v>152</v>
      </c>
    </row>
    <row r="39" spans="2:22" x14ac:dyDescent="0.35">
      <c r="C39" t="s">
        <v>153</v>
      </c>
    </row>
  </sheetData>
  <mergeCells count="4">
    <mergeCell ref="B25:B30"/>
    <mergeCell ref="B32:B34"/>
    <mergeCell ref="B14:B18"/>
    <mergeCell ref="B6:B12"/>
  </mergeCells>
  <hyperlinks>
    <hyperlink ref="V6" r:id="rId1"/>
    <hyperlink ref="V13" r:id="rId2"/>
    <hyperlink ref="V7" r:id="rId3"/>
    <hyperlink ref="V8" r:id="rId4"/>
    <hyperlink ref="V15" r:id="rId5"/>
    <hyperlink ref="V17" r:id="rId6"/>
    <hyperlink ref="V18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PILAR 1. INSTITUCIONALIDAD</vt:lpstr>
      <vt:lpstr>PILAR 2. CRECIMIENTO</vt:lpstr>
      <vt:lpstr>PILAR 3. EDUCACIÓN</vt:lpstr>
      <vt:lpstr>PILAR 4. IGUALDAD DE OPORT</vt:lpstr>
      <vt:lpstr>Metas</vt:lpstr>
      <vt:lpstr>PILAR 2. IGUALDAD</vt:lpstr>
      <vt:lpstr>P1. CRECIMIENTO</vt:lpstr>
      <vt:lpstr>Series largas</vt:lpstr>
      <vt:lpstr>1. Crecimiento</vt:lpstr>
      <vt:lpstr>Sheet2</vt:lpstr>
      <vt:lpstr>1. Crecimiento(antiguo)</vt:lpstr>
      <vt:lpstr>2. Igualdad de oportunidades</vt:lpstr>
      <vt:lpstr>5. Empresarios comprometidos</vt:lpstr>
      <vt:lpstr>IPAE Mide</vt:lpstr>
      <vt:lpstr>IPAE Mide_ant</vt:lpstr>
      <vt:lpstr>Hoja2</vt:lpstr>
      <vt:lpstr>Hoja4</vt:lpstr>
      <vt:lpstr>Hoja3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Sotelo Redhead Andrea</dc:creator>
  <cp:keywords/>
  <dc:description/>
  <cp:lastModifiedBy>usuario</cp:lastModifiedBy>
  <cp:revision/>
  <dcterms:created xsi:type="dcterms:W3CDTF">2022-01-31T21:01:06Z</dcterms:created>
  <dcterms:modified xsi:type="dcterms:W3CDTF">2023-10-30T20:26:45Z</dcterms:modified>
  <cp:category/>
  <cp:contentStatus/>
</cp:coreProperties>
</file>